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Cover" sheetId="2" state="visible" r:id="rId2"/>
    <sheet xmlns:r="http://schemas.openxmlformats.org/officeDocument/2006/relationships" name="MD Position Tracker" sheetId="3" state="visible" r:id="rId3"/>
    <sheet xmlns:r="http://schemas.openxmlformats.org/officeDocument/2006/relationships" name="Capital Stack" sheetId="4" state="visible" r:id="rId4"/>
    <sheet xmlns:r="http://schemas.openxmlformats.org/officeDocument/2006/relationships" name="MD 2013 Investment" sheetId="5" state="visible" r:id="rId5"/>
    <sheet xmlns:r="http://schemas.openxmlformats.org/officeDocument/2006/relationships" name="Value Creation &amp; IRR" sheetId="6" state="visible" r:id="rId6"/>
    <sheet xmlns:r="http://schemas.openxmlformats.org/officeDocument/2006/relationships" name="MD Total Value Schedule" sheetId="7" state="visible" r:id="rId7"/>
    <sheet xmlns:r="http://schemas.openxmlformats.org/officeDocument/2006/relationships" name="Dividends &amp; Distributions" sheetId="8" state="visible" r:id="rId8"/>
    <sheet xmlns:r="http://schemas.openxmlformats.org/officeDocument/2006/relationships" name="Sources" sheetId="9" state="visible" r:id="rId9"/>
  </sheets>
  <definedNames>
    <definedName name="_xlnm.Print_Titles" localSheetId="1">'Cover'!$1:$3</definedName>
    <definedName name="_xlnm.Print_Area" localSheetId="1">'Cover'!$A$1:$H$21</definedName>
    <definedName name="_xlnm.Print_Titles" localSheetId="2">'MD Position Tracker'!$1:$3</definedName>
    <definedName name="_xlnm.Print_Area" localSheetId="2">'MD Position Tracker'!$A$1:$J$22</definedName>
    <definedName name="_xlnm.Print_Titles" localSheetId="3">'Capital Stack'!$1:$3</definedName>
    <definedName name="_xlnm.Print_Area" localSheetId="3">'Capital Stack'!$A$1:$F$30</definedName>
    <definedName name="_xlnm.Print_Titles" localSheetId="4">'MD 2013 Investment'!$1:$3</definedName>
    <definedName name="_xlnm.Print_Area" localSheetId="4">'MD 2013 Investment'!$A$1:$F$17</definedName>
    <definedName name="_xlnm.Print_Titles" localSheetId="5">'Value Creation &amp; IRR'!$1:$3</definedName>
    <definedName name="_xlnm.Print_Area" localSheetId="5">'Value Creation &amp; IRR'!$A$1:$H$24</definedName>
    <definedName name="_xlnm.Print_Titles" localSheetId="6">'MD Total Value Schedule'!$1:$3</definedName>
    <definedName name="_xlnm.Print_Area" localSheetId="6">'MD Total Value Schedule'!$A$1:$F$53</definedName>
    <definedName name="_xlnm.Print_Titles" localSheetId="7">'Dividends &amp; Distributions'!$1:$3</definedName>
    <definedName name="_xlnm.Print_Area" localSheetId="7">'Dividends &amp; Distributions'!$A$1:$G$18</definedName>
    <definedName name="_xlnm.Print_Titles" localSheetId="8">'Sources'!$1:$3</definedName>
    <definedName name="_xlnm.Print_Area" localSheetId="8">'Sources'!$A$1:$J$11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0.0%"/>
    <numFmt numFmtId="165" formatCode="\$#,##0.0"/>
    <numFmt numFmtId="166" formatCode="0.0\x"/>
    <numFmt numFmtId="167" formatCode="\$#,##0.00"/>
    <numFmt numFmtId="168" formatCode="#,##0.0"/>
    <numFmt numFmtId="169" formatCode="0.0000"/>
    <numFmt numFmtId="170" formatCode="\$#,##0"/>
    <numFmt numFmtId="171" formatCode="[$$-409]#,##0.00;[RED]\-[$$-409]#,##0.00"/>
  </numFmts>
  <fonts count="4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B8902F"/>
      <sz val="9"/>
    </font>
    <font>
      <name val="Arial"/>
      <charset val="1"/>
      <family val="0"/>
      <b val="1"/>
      <color rgb="FF1F3556"/>
      <sz val="20"/>
    </font>
    <font>
      <name val="Arial"/>
      <charset val="1"/>
      <family val="0"/>
      <i val="1"/>
      <color rgb="FF555555"/>
      <sz val="10"/>
    </font>
    <font>
      <name val="Arial"/>
      <charset val="1"/>
      <family val="0"/>
      <b val="1"/>
      <color rgb="FF1F3556"/>
      <sz val="12"/>
    </font>
    <font>
      <name val="Arial"/>
      <charset val="1"/>
      <family val="0"/>
      <b val="1"/>
      <color rgb="FF1F3556"/>
      <sz val="11"/>
    </font>
    <font>
      <name val="Arial"/>
      <charset val="1"/>
      <family val="0"/>
      <color rgb="FF333333"/>
      <sz val="10"/>
    </font>
    <font>
      <name val="Arial"/>
      <charset val="1"/>
      <family val="0"/>
      <b val="1"/>
      <color rgb="FF1F3556"/>
      <sz val="9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1F3556"/>
      <sz val="15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color rgb="FF555555"/>
      <sz val="8"/>
    </font>
    <font>
      <name val="Arial"/>
      <charset val="1"/>
      <family val="0"/>
      <i val="1"/>
      <color rgb="FF888888"/>
      <sz val="8"/>
    </font>
    <font>
      <name val="Arial"/>
      <charset val="1"/>
      <family val="0"/>
      <i val="1"/>
      <color rgb="FF555555"/>
      <sz val="8"/>
    </font>
    <font>
      <name val="Arial"/>
      <charset val="1"/>
      <family val="0"/>
      <b val="1"/>
      <color rgb="FFB8902F"/>
      <sz val="11"/>
    </font>
    <font>
      <name val="Arial"/>
      <charset val="1"/>
      <family val="0"/>
      <color rgb="FF008000"/>
      <sz val="11"/>
    </font>
    <font>
      <name val="Arial"/>
      <charset val="1"/>
      <family val="0"/>
      <i val="1"/>
      <color rgb="FF888888"/>
      <sz val="11"/>
    </font>
    <font>
      <name val="Arial"/>
      <charset val="1"/>
      <family val="0"/>
      <color rgb="FF333333"/>
      <sz val="9"/>
    </font>
    <font>
      <name val="Arial"/>
      <b val="1"/>
      <color rgb="001F3556"/>
    </font>
    <font>
      <name val="Arial"/>
      <color rgb="00333333"/>
      <sz val="10"/>
    </font>
    <font>
      <name val="Calibri"/>
      <color rgb="00000000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9">
    <fill>
      <patternFill/>
    </fill>
    <fill>
      <patternFill patternType="gray125"/>
    </fill>
    <fill>
      <patternFill patternType="solid">
        <fgColor rgb="FF1F3556"/>
        <bgColor rgb="FF333333"/>
      </patternFill>
    </fill>
    <fill>
      <patternFill patternType="solid">
        <fgColor rgb="FFB8902F"/>
        <bgColor rgb="FF969696"/>
      </patternFill>
    </fill>
    <fill>
      <patternFill patternType="solid">
        <fgColor rgb="FFF1ECE0"/>
        <bgColor rgb="FFFFFFFF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general" vertical="bottom"/>
    </xf>
    <xf numFmtId="0" fontId="13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0" fontId="14" fillId="0" borderId="1" applyAlignment="1" pivotButton="0" quotePrefix="0" xfId="0">
      <alignment horizontal="general" vertical="bottom"/>
    </xf>
    <xf numFmtId="164" fontId="15" fillId="0" borderId="1" applyAlignment="1" pivotButton="0" quotePrefix="0" xfId="0">
      <alignment horizontal="general" vertical="bottom"/>
    </xf>
    <xf numFmtId="165" fontId="15" fillId="0" borderId="1" applyAlignment="1" pivotButton="0" quotePrefix="0" xfId="0">
      <alignment horizontal="general" vertical="bottom"/>
    </xf>
    <xf numFmtId="165" fontId="14" fillId="0" borderId="1" applyAlignment="1" pivotButton="0" quotePrefix="0" xfId="0">
      <alignment horizontal="general" vertical="bottom"/>
    </xf>
    <xf numFmtId="0" fontId="16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general" vertical="bottom"/>
    </xf>
    <xf numFmtId="0" fontId="13" fillId="3" borderId="0" applyAlignment="1" pivotButton="0" quotePrefix="0" xfId="0">
      <alignment horizontal="general" vertical="bottom"/>
    </xf>
    <xf numFmtId="165" fontId="15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5" fontId="14" fillId="0" borderId="0" applyAlignment="1" pivotButton="0" quotePrefix="0" xfId="0">
      <alignment horizontal="general" vertical="bottom"/>
    </xf>
    <xf numFmtId="0" fontId="13" fillId="2" borderId="1" applyAlignment="1" pivotButton="0" quotePrefix="0" xfId="0">
      <alignment horizontal="center" vertical="bottom"/>
    </xf>
    <xf numFmtId="167" fontId="15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167" fontId="14" fillId="4" borderId="1" applyAlignment="1" pivotButton="0" quotePrefix="0" xfId="0">
      <alignment horizontal="general" vertical="bottom"/>
    </xf>
    <xf numFmtId="0" fontId="17" fillId="4" borderId="1" applyAlignment="1" pivotButton="0" quotePrefix="0" xfId="0">
      <alignment horizontal="general" vertical="bottom"/>
    </xf>
    <xf numFmtId="167" fontId="15" fillId="0" borderId="0" applyAlignment="1" pivotButton="0" quotePrefix="0" xfId="0">
      <alignment horizontal="general" vertical="bottom"/>
    </xf>
    <xf numFmtId="167" fontId="14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left" vertical="top" wrapText="1"/>
    </xf>
    <xf numFmtId="167" fontId="20" fillId="0" borderId="0" applyAlignment="1" pivotButton="0" quotePrefix="0" xfId="0">
      <alignment horizontal="general" vertical="bottom"/>
    </xf>
    <xf numFmtId="165" fontId="20" fillId="0" borderId="0" applyAlignment="1" pivotButton="0" quotePrefix="0" xfId="0">
      <alignment horizontal="general" vertical="bottom"/>
    </xf>
    <xf numFmtId="1" fontId="15" fillId="0" borderId="0" applyAlignment="1" pivotButton="0" quotePrefix="0" xfId="0">
      <alignment horizontal="general" vertical="bottom"/>
    </xf>
    <xf numFmtId="165" fontId="20" fillId="0" borderId="1" applyAlignment="1" pivotButton="0" quotePrefix="0" xfId="0">
      <alignment horizontal="general" vertical="bottom"/>
    </xf>
    <xf numFmtId="0" fontId="16" fillId="0" borderId="1" applyAlignment="1" pivotButton="0" quotePrefix="0" xfId="0">
      <alignment horizontal="left" vertical="bottom" wrapText="1"/>
    </xf>
    <xf numFmtId="165" fontId="14" fillId="4" borderId="1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general" vertical="bottom"/>
    </xf>
    <xf numFmtId="165" fontId="13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8" fontId="15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left" vertical="bottom" wrapText="1"/>
    </xf>
    <xf numFmtId="168" fontId="14" fillId="0" borderId="0" applyAlignment="1" pivotButton="0" quotePrefix="0" xfId="0">
      <alignment horizontal="general" vertical="bottom"/>
    </xf>
    <xf numFmtId="169" fontId="15" fillId="0" borderId="0" applyAlignment="1" pivotButton="0" quotePrefix="0" xfId="0">
      <alignment horizontal="general" vertical="bottom"/>
    </xf>
    <xf numFmtId="170" fontId="15" fillId="0" borderId="0" applyAlignment="1" pivotButton="0" quotePrefix="0" xfId="0">
      <alignment horizontal="general" vertical="bottom"/>
    </xf>
    <xf numFmtId="165" fontId="14" fillId="4" borderId="0" applyAlignment="1" pivotButton="0" quotePrefix="0" xfId="0">
      <alignment horizontal="general" vertical="bottom"/>
    </xf>
    <xf numFmtId="171" fontId="17" fillId="0" borderId="0" applyAlignment="1" pivotButton="0" quotePrefix="0" xfId="0">
      <alignment horizontal="left" vertical="bottom" wrapText="1"/>
    </xf>
    <xf numFmtId="168" fontId="20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23" fillId="0" borderId="0" pivotButton="0" quotePrefix="0" xfId="0"/>
    <xf numFmtId="0" fontId="24" fillId="0" borderId="0" pivotButton="0" quotePrefix="0" xfId="0"/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general" vertical="bottom"/>
    </xf>
    <xf numFmtId="0" fontId="13" fillId="2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0" fontId="14" fillId="0" borderId="1" applyAlignment="1" pivotButton="0" quotePrefix="0" xfId="0">
      <alignment horizontal="general" vertical="bottom"/>
    </xf>
    <xf numFmtId="164" fontId="15" fillId="0" borderId="1" applyAlignment="1" pivotButton="0" quotePrefix="0" xfId="0">
      <alignment horizontal="general" vertical="bottom"/>
    </xf>
    <xf numFmtId="165" fontId="15" fillId="0" borderId="1" applyAlignment="1" pivotButton="0" quotePrefix="0" xfId="0">
      <alignment horizontal="general" vertical="bottom"/>
    </xf>
    <xf numFmtId="165" fontId="14" fillId="0" borderId="1" applyAlignment="1" pivotButton="0" quotePrefix="0" xfId="0">
      <alignment horizontal="general" vertical="bottom"/>
    </xf>
    <xf numFmtId="0" fontId="16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general" vertical="bottom"/>
    </xf>
    <xf numFmtId="0" fontId="13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15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5" fontId="14" fillId="0" borderId="0" applyAlignment="1" pivotButton="0" quotePrefix="0" xfId="0">
      <alignment horizontal="general" vertical="bottom"/>
    </xf>
    <xf numFmtId="0" fontId="13" fillId="2" borderId="1" applyAlignment="1" pivotButton="0" quotePrefix="0" xfId="0">
      <alignment horizontal="center" vertical="bottom"/>
    </xf>
    <xf numFmtId="167" fontId="15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167" fontId="14" fillId="4" borderId="1" applyAlignment="1" pivotButton="0" quotePrefix="0" xfId="0">
      <alignment horizontal="general" vertical="bottom"/>
    </xf>
    <xf numFmtId="0" fontId="17" fillId="4" borderId="1" applyAlignment="1" pivotButton="0" quotePrefix="0" xfId="0">
      <alignment horizontal="general" vertical="bottom"/>
    </xf>
    <xf numFmtId="167" fontId="15" fillId="0" borderId="0" applyAlignment="1" pivotButton="0" quotePrefix="0" xfId="0">
      <alignment horizontal="general" vertical="bottom"/>
    </xf>
    <xf numFmtId="167" fontId="14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left" vertical="top" wrapText="1"/>
    </xf>
    <xf numFmtId="167" fontId="20" fillId="0" borderId="0" applyAlignment="1" pivotButton="0" quotePrefix="0" xfId="0">
      <alignment horizontal="general" vertical="bottom"/>
    </xf>
    <xf numFmtId="165" fontId="20" fillId="0" borderId="0" applyAlignment="1" pivotButton="0" quotePrefix="0" xfId="0">
      <alignment horizontal="general" vertical="bottom"/>
    </xf>
    <xf numFmtId="1" fontId="15" fillId="0" borderId="0" applyAlignment="1" pivotButton="0" quotePrefix="0" xfId="0">
      <alignment horizontal="general" vertical="bottom"/>
    </xf>
    <xf numFmtId="165" fontId="20" fillId="0" borderId="1" applyAlignment="1" pivotButton="0" quotePrefix="0" xfId="0">
      <alignment horizontal="general" vertical="bottom"/>
    </xf>
    <xf numFmtId="0" fontId="16" fillId="0" borderId="1" applyAlignment="1" pivotButton="0" quotePrefix="0" xfId="0">
      <alignment horizontal="left" vertical="bottom" wrapText="1"/>
    </xf>
    <xf numFmtId="165" fontId="14" fillId="4" borderId="1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center" wrapText="1"/>
    </xf>
    <xf numFmtId="0" fontId="16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general" vertical="bottom"/>
    </xf>
    <xf numFmtId="165" fontId="13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8" fontId="15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left" vertical="bottom" wrapText="1"/>
    </xf>
    <xf numFmtId="168" fontId="14" fillId="0" borderId="0" applyAlignment="1" pivotButton="0" quotePrefix="0" xfId="0">
      <alignment horizontal="general" vertical="bottom"/>
    </xf>
    <xf numFmtId="169" fontId="15" fillId="0" borderId="0" applyAlignment="1" pivotButton="0" quotePrefix="0" xfId="0">
      <alignment horizontal="general" vertical="bottom"/>
    </xf>
    <xf numFmtId="170" fontId="15" fillId="0" borderId="0" applyAlignment="1" pivotButton="0" quotePrefix="0" xfId="0">
      <alignment horizontal="general" vertical="bottom"/>
    </xf>
    <xf numFmtId="165" fontId="14" fillId="4" borderId="0" applyAlignment="1" pivotButton="0" quotePrefix="0" xfId="0">
      <alignment horizontal="general" vertical="bottom"/>
    </xf>
    <xf numFmtId="171" fontId="17" fillId="0" borderId="0" applyAlignment="1" pivotButton="0" quotePrefix="0" xfId="0">
      <alignment horizontal="left" vertical="bottom" wrapText="1"/>
    </xf>
    <xf numFmtId="168" fontId="20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left" vertical="center" wrapText="1"/>
    </xf>
    <xf numFmtId="165" fontId="25" fillId="0" borderId="1" applyAlignment="1" pivotButton="0" quotePrefix="0" xfId="0">
      <alignment horizontal="general" vertical="bottom"/>
    </xf>
    <xf numFmtId="166" fontId="25" fillId="0" borderId="0" applyAlignment="1" pivotButton="0" quotePrefix="0" xfId="0">
      <alignment horizontal="general" vertical="bottom"/>
    </xf>
    <xf numFmtId="164" fontId="25" fillId="0" borderId="0" applyAlignment="1" pivotButton="0" quotePrefix="0" xfId="0">
      <alignment horizontal="general" vertical="bottom"/>
    </xf>
    <xf numFmtId="165" fontId="25" fillId="0" borderId="0" applyAlignment="1" pivotButton="0" quotePrefix="0" xfId="0">
      <alignment horizontal="general" vertical="bottom"/>
    </xf>
    <xf numFmtId="167" fontId="25" fillId="0" borderId="0" applyAlignment="1" pivotButton="0" quotePrefix="0" xfId="0">
      <alignment horizontal="general" vertical="bottom"/>
    </xf>
    <xf numFmtId="168" fontId="25" fillId="0" borderId="0" applyAlignment="1" pivotButton="0" quotePrefix="0" xfId="0">
      <alignment horizontal="general" vertical="bottom"/>
    </xf>
    <xf numFmtId="0" fontId="26" fillId="5" borderId="0" applyAlignment="1" pivotButton="0" quotePrefix="0" xfId="0">
      <alignment horizontal="center" vertical="center" wrapText="1"/>
    </xf>
    <xf numFmtId="0" fontId="27" fillId="6" borderId="0" applyAlignment="1" pivotButton="0" quotePrefix="0" xfId="0">
      <alignment horizontal="center" vertical="center" wrapText="1"/>
    </xf>
    <xf numFmtId="0" fontId="28" fillId="6" borderId="0" applyAlignment="1" pivotButton="0" quotePrefix="0" xfId="0">
      <alignment horizontal="center" vertical="center" wrapText="1"/>
    </xf>
    <xf numFmtId="0" fontId="29" fillId="5" borderId="0" applyAlignment="1" pivotButton="0" quotePrefix="0" xfId="0">
      <alignment horizontal="center" vertical="center" wrapText="1"/>
    </xf>
    <xf numFmtId="0" fontId="30" fillId="6" borderId="0" applyAlignment="1" pivotButton="0" quotePrefix="0" xfId="0">
      <alignment horizontal="left" vertical="center" wrapText="1" indent="1"/>
    </xf>
    <xf numFmtId="0" fontId="30" fillId="6" borderId="0" applyAlignment="1" pivotButton="0" quotePrefix="0" xfId="0">
      <alignment horizontal="center" vertical="center" wrapText="1"/>
    </xf>
    <xf numFmtId="0" fontId="31" fillId="7" borderId="0" applyAlignment="1" pivotButton="0" quotePrefix="0" xfId="0">
      <alignment horizontal="center" vertical="center" wrapText="1"/>
    </xf>
    <xf numFmtId="0" fontId="32" fillId="6" borderId="0" applyAlignment="1" pivotButton="0" quotePrefix="0" xfId="0">
      <alignment horizontal="center" vertical="center" wrapText="1"/>
    </xf>
    <xf numFmtId="0" fontId="33" fillId="6" borderId="0" applyAlignment="1" pivotButton="0" quotePrefix="0" xfId="0">
      <alignment horizontal="center" vertical="center" wrapText="1"/>
    </xf>
    <xf numFmtId="0" fontId="34" fillId="6" borderId="0" applyAlignment="1" pivotButton="0" quotePrefix="0" xfId="0">
      <alignment horizontal="center" vertical="center" wrapText="1"/>
    </xf>
    <xf numFmtId="0" fontId="26" fillId="5" borderId="0" applyAlignment="1" pivotButton="0" quotePrefix="0" xfId="0">
      <alignment horizontal="center" vertical="center"/>
    </xf>
    <xf numFmtId="0" fontId="35" fillId="6" borderId="0" applyAlignment="1" pivotButton="0" quotePrefix="0" xfId="0">
      <alignment horizontal="center" vertical="center"/>
    </xf>
    <xf numFmtId="0" fontId="36" fillId="0" borderId="0" applyAlignment="1" pivotButton="0" quotePrefix="0" xfId="0">
      <alignment horizontal="center" vertical="center" wrapText="1"/>
    </xf>
    <xf numFmtId="0" fontId="37" fillId="5" borderId="0" applyAlignment="1" pivotButton="0" quotePrefix="0" xfId="0">
      <alignment horizontal="center" vertical="center"/>
    </xf>
    <xf numFmtId="0" fontId="35" fillId="0" borderId="0" applyAlignment="1" pivotButton="0" quotePrefix="0" xfId="0">
      <alignment horizontal="center" vertical="center"/>
    </xf>
    <xf numFmtId="0" fontId="38" fillId="8" borderId="0" applyAlignment="1" pivotButton="0" quotePrefix="0" xfId="0">
      <alignment horizontal="center" vertical="center"/>
    </xf>
    <xf numFmtId="0" fontId="32" fillId="6" borderId="0" applyAlignment="1" pivotButton="0" quotePrefix="0" xfId="0">
      <alignment horizontal="center" vertical="center"/>
    </xf>
    <xf numFmtId="0" fontId="39" fillId="6" borderId="0" applyAlignment="1" pivotButton="0" quotePrefix="0" xfId="0">
      <alignment horizontal="center" vertical="center"/>
    </xf>
    <xf numFmtId="0" fontId="40" fillId="6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902F"/>
      <rgbColor rgb="FF800080"/>
      <rgbColor rgb="FF008080"/>
      <rgbColor rgb="FFCCCCCC"/>
      <rgbColor rgb="FF888888"/>
      <rgbColor rgb="FF9999FF"/>
      <rgbColor rgb="FF993366"/>
      <rgbColor rgb="FFF1ECE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556"/>
      <rgbColor rgb="FF339966"/>
      <rgbColor rgb="FF003300"/>
      <rgbColor rgb="FF333300"/>
      <rgbColor rgb="FF993300"/>
      <rgbColor rgb="FF993366"/>
      <rgbColor rgb="FF555555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style="60" min="1" max="1"/>
    <col width="14" customWidth="1" style="60" min="2" max="2"/>
    <col width="14" customWidth="1" style="60" min="3" max="3"/>
    <col width="14" customWidth="1" style="60" min="4" max="4"/>
    <col width="14" customWidth="1" style="60" min="5" max="5"/>
    <col width="14" customWidth="1" style="60" min="6" max="6"/>
  </cols>
  <sheetData>
    <row r="1" ht="32" customHeight="1" s="60">
      <c r="A1" s="137" t="inlineStr">
        <is>
          <t>THE BARATELLI FINANCIAL MODELING TOOLKIT</t>
        </is>
      </c>
    </row>
    <row r="2" ht="22" customHeight="1" s="60">
      <c r="A2" s="138" t="inlineStr">
        <is>
          <t>Production templates for M&amp;A, valuation, PE, and 3-statement modeling</t>
        </is>
      </c>
    </row>
    <row r="3" ht="12" customHeight="1" s="60"/>
    <row r="4" ht="34" customHeight="1" s="60">
      <c r="A4" s="139" t="inlineStr">
        <is>
          <t>You are looking at one case study Excel model. The full Toolkit gives you the production templates blank-and-ready for YOUR own deals.</t>
        </is>
      </c>
    </row>
    <row r="5" ht="10" customHeight="1" s="60"/>
    <row r="6" ht="22" customHeight="1" s="60">
      <c r="A6" s="140" t="inlineStr">
        <is>
          <t>26 Excel templates + 50+ page methodology PDF</t>
        </is>
      </c>
    </row>
    <row r="7" ht="10" customHeight="1" s="60"/>
    <row r="8" ht="20" customHeight="1" s="60">
      <c r="A8" s="141" t="inlineStr">
        <is>
          <t>Built by CPAs, MBAs, and career practitioners</t>
        </is>
      </c>
    </row>
    <row r="9" ht="12" customHeight="1" s="60"/>
    <row r="10" ht="40" customHeight="1" s="60">
      <c r="A10" s="142" t="inlineStr">
        <is>
          <t>$99 USD</t>
        </is>
      </c>
    </row>
    <row r="11" ht="22" customHeight="1" s="60">
      <c r="A11" s="143" t="inlineStr">
        <is>
          <t>at gumroad.com/l/isetaw</t>
        </is>
      </c>
    </row>
    <row r="12" ht="10" customHeight="1" s="60"/>
    <row r="13" ht="18" customHeight="1" s="60">
      <c r="A13" s="144" t="inlineStr">
        <is>
          <t>Also available: £79 GBP · €89 EUR</t>
        </is>
      </c>
    </row>
    <row r="14" ht="10" customHeight="1" s="60"/>
    <row r="15" ht="20" customHeight="1" s="60">
      <c r="A15" s="144" t="inlineStr">
        <is>
          <t>Enterprise licensing available for firms. Contact enterprise@baratelliinstitute.com</t>
        </is>
      </c>
    </row>
    <row r="16" ht="10" customHeight="1" s="60"/>
    <row r="17" ht="20" customHeight="1" s="60">
      <c r="A17" s="145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B2:H2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" customWidth="1" style="59" min="1" max="1"/>
    <col width="26" customWidth="1" style="59" min="2" max="2"/>
    <col width="15" customWidth="1" style="59" min="3" max="8"/>
  </cols>
  <sheetData>
    <row r="2" ht="15" customHeight="1" s="60">
      <c r="B2" s="61" t="inlineStr">
        <is>
          <t>THE BARATELLI INSTITUTE  ·  CASE STUDY</t>
        </is>
      </c>
    </row>
    <row r="4" ht="24" customHeight="1" s="60">
      <c r="B4" s="62" t="inlineStr">
        <is>
          <t>Dell Technologies — The Michael Dell LBO</t>
        </is>
      </c>
    </row>
    <row r="5" ht="15" customHeight="1" s="60">
      <c r="B5" s="63" t="inlineStr">
        <is>
          <t>Tracking founder ownership, valuation, and distributions at every transaction step, 2013–2026</t>
        </is>
      </c>
    </row>
    <row r="7" ht="15" customHeight="1" s="60">
      <c r="B7" s="64" t="inlineStr">
        <is>
          <t>Financial Model</t>
        </is>
      </c>
    </row>
    <row r="8">
      <c r="B8" s="65" t="inlineStr">
        <is>
          <t>MD Position Tracker</t>
        </is>
      </c>
      <c r="C8" s="66" t="inlineStr">
        <is>
          <t>Michael Dell’s stake %, voting %, and value at every step</t>
        </is>
      </c>
    </row>
    <row r="9" ht="15" customHeight="1" s="60">
      <c r="B9" s="67" t="inlineStr">
        <is>
          <t>Capital Stack</t>
        </is>
      </c>
      <c r="C9" s="68" t="inlineStr">
        <is>
          <t>Sources &amp; uses at the 2013 LBO, the EMC deal, and the 2018 re-listing</t>
        </is>
      </c>
    </row>
    <row r="10" ht="15" customHeight="1" s="60">
      <c r="B10" s="67" t="inlineStr">
        <is>
          <t>MD 2013 Investment</t>
        </is>
      </c>
      <c r="C10" s="68" t="inlineStr">
        <is>
          <t>His total check — roll + $750M MSD cash + dividend waiver — for ~75%</t>
        </is>
      </c>
    </row>
    <row r="11" ht="15" customHeight="1" s="60">
      <c r="B11" s="67" t="inlineStr">
        <is>
          <t>Value Creation &amp; IRR</t>
        </is>
      </c>
      <c r="C11" s="68" t="inlineStr">
        <is>
          <t>Equity in vs. value out; MOIC and IRR on the founder’s check</t>
        </is>
      </c>
    </row>
    <row r="12" ht="15" customHeight="1" s="60">
      <c r="B12" s="67" t="inlineStr">
        <is>
          <t>MD Total Value Schedule</t>
        </is>
      </c>
      <c r="C12" s="68" t="inlineStr">
        <is>
          <t>Dell + Broadcom + cash → ~$202B, with a price-sensitivity block</t>
        </is>
      </c>
    </row>
    <row r="13" ht="15" customHeight="1" s="60">
      <c r="B13" s="67" t="inlineStr">
        <is>
          <t>Dividends &amp; Distributions</t>
        </is>
      </c>
      <c r="C13" s="68" t="inlineStr">
        <is>
          <t>Every special and regular dividend, and the total returned</t>
        </is>
      </c>
    </row>
    <row r="14" ht="15" customHeight="1" s="60">
      <c r="B14" s="67" t="inlineStr">
        <is>
          <t>Sources</t>
        </is>
      </c>
      <c r="C14" s="68" t="inlineStr">
        <is>
          <t>Public filings and references</t>
        </is>
      </c>
    </row>
    <row r="17" ht="15" customHeight="1" s="60">
      <c r="B17" s="69" t="inlineStr">
        <is>
          <t>Disclaimer</t>
        </is>
      </c>
    </row>
    <row r="18" ht="15" customHeight="1" s="60">
      <c r="B18" s="70" t="inlineStr">
        <is>
          <t>Educational case study built from public SEC filings and press reports. Not investment, tax, or legal advice. Figures for the private-company period (2013–2018) are transaction-implied, since equity was not publicly traded; current-market figures are as of mid-2026 and will move. Ownership percentages reflect economic interest unless noted as voting. © 2026 The Baratelli Institute.</t>
        </is>
      </c>
    </row>
    <row r="19" ht="15" customHeight="1" s="60"/>
    <row r="20" ht="15" customHeight="1" s="60"/>
    <row r="21" ht="15" customHeight="1" s="60"/>
  </sheetData>
  <mergeCells count="1">
    <mergeCell ref="B18:H2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&amp;K3C3F45Cover&amp;R&amp;8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B2:J2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2" customWidth="1" style="59" min="2" max="2"/>
    <col width="11" customWidth="1" style="59" min="3" max="3"/>
    <col width="30" customWidth="1" style="59" min="4" max="4"/>
    <col width="13" customWidth="1" style="59" min="5" max="9"/>
    <col width="52" customWidth="1" style="59" min="10" max="10"/>
  </cols>
  <sheetData>
    <row r="2" ht="18" customHeight="1" s="60">
      <c r="B2" s="71" t="inlineStr">
        <is>
          <t>Michael Dell — Position at Every Step</t>
        </is>
      </c>
    </row>
    <row r="3" ht="15" customHeight="1" s="60">
      <c r="B3" s="63" t="inlineStr">
        <is>
          <t>Economic ownership, voting control, implied stake value, and step distributions</t>
        </is>
      </c>
    </row>
    <row r="5" ht="39" customHeight="1" s="60">
      <c r="B5" s="72" t="inlineStr">
        <is>
          <t>Step</t>
        </is>
      </c>
      <c r="C5" s="72" t="inlineStr">
        <is>
          <t>Date</t>
        </is>
      </c>
      <c r="D5" s="72" t="inlineStr">
        <is>
          <t>Event</t>
        </is>
      </c>
      <c r="E5" s="72" t="inlineStr">
        <is>
          <t>MD Economic %</t>
        </is>
      </c>
      <c r="F5" s="72" t="inlineStr">
        <is>
          <t>MD Voting %</t>
        </is>
      </c>
      <c r="G5" s="72" t="inlineStr">
        <is>
          <t>Company Equity Value ($B)</t>
        </is>
      </c>
      <c r="H5" s="72" t="inlineStr">
        <is>
          <t>Implied MD Stake ($B)</t>
        </is>
      </c>
      <c r="I5" s="72" t="inlineStr">
        <is>
          <t>Distributions in Step ($B)</t>
        </is>
      </c>
      <c r="J5" s="72" t="inlineStr">
        <is>
          <t>Note</t>
        </is>
      </c>
    </row>
    <row r="6" ht="15" customHeight="1" s="60">
      <c r="B6" s="73" t="inlineStr">
        <is>
          <t>0  Pre-LBO</t>
        </is>
      </c>
      <c r="C6" s="74" t="inlineStr">
        <is>
          <t>Feb 2013</t>
        </is>
      </c>
      <c r="D6" s="74" t="inlineStr">
        <is>
          <t>Dell Inc., publicly traded (NASDAQ: DELL)</t>
        </is>
      </c>
      <c r="E6" s="75" t="n">
        <v>0.14</v>
      </c>
      <c r="F6" s="75" t="n">
        <v>0.14</v>
      </c>
      <c r="G6" s="76" t="n">
        <v>24.4</v>
      </c>
      <c r="H6" s="121">
        <f>E6*G6</f>
        <v/>
      </c>
      <c r="I6" s="76" t="n">
        <v>0</v>
      </c>
      <c r="J6" s="78" t="inlineStr">
        <is>
          <t>Largest single holder; ~14% per Dell’s 2013 release (some sources cite ~15.6%). $13.65/sh take-private offer</t>
        </is>
      </c>
    </row>
    <row r="7" ht="18.75" customHeight="1" s="60">
      <c r="B7" s="73" t="inlineStr">
        <is>
          <t>1  LBO close</t>
        </is>
      </c>
      <c r="C7" s="74" t="inlineStr">
        <is>
          <t>Oct 2013</t>
        </is>
      </c>
      <c r="D7" s="74" t="inlineStr">
        <is>
          <t>Take-private by Michael Dell + Silver Lake</t>
        </is>
      </c>
      <c r="E7" s="75" t="n">
        <v>0.75</v>
      </c>
      <c r="F7" s="75" t="n">
        <v>0.75</v>
      </c>
      <c r="G7" s="76" t="n">
        <v>5.6</v>
      </c>
      <c r="H7" s="121">
        <f>E7*G7</f>
        <v/>
      </c>
      <c r="I7" s="76" t="n">
        <v>0</v>
      </c>
      <c r="J7" s="78" t="inlineStr">
        <is>
          <t>New private equity ~$5.6B (MD ~$4.2B incl. rolled shares; SL ~$1.4B) + $2B Microsoft loan + ~$15B+ debt</t>
        </is>
      </c>
    </row>
    <row r="8" ht="27.75" customHeight="1" s="60">
      <c r="B8" s="73" t="inlineStr">
        <is>
          <t>2  EMC acquisition</t>
        </is>
      </c>
      <c r="C8" s="74" t="inlineStr">
        <is>
          <t>Sep 2016</t>
        </is>
      </c>
      <c r="D8" s="74" t="inlineStr">
        <is>
          <t>Acquires EMC for ~$67B; DVMT (Class V) tracking stock created</t>
        </is>
      </c>
      <c r="E8" s="75" t="n"/>
      <c r="F8" s="75" t="n"/>
      <c r="G8" s="76" t="n"/>
      <c r="H8" s="79" t="n"/>
      <c r="I8" s="76" t="n">
        <v>0</v>
      </c>
      <c r="J8" s="78" t="inlineStr">
        <is>
          <t>Largest tech M&amp;A ever; ~$45–50B new debt + ~$4.4B new equity (SL/MSD/Temasek) + tracking stock. MD retains control; economics diluted. Private, multi-class — equity value not cleanly observable</t>
        </is>
      </c>
    </row>
    <row r="9" ht="15" customHeight="1" s="60">
      <c r="B9" s="73" t="inlineStr">
        <is>
          <t>3  Tracking-stock era</t>
        </is>
      </c>
      <c r="C9" s="74" t="inlineStr">
        <is>
          <t>2016–18</t>
        </is>
      </c>
      <c r="D9" s="74" t="inlineStr">
        <is>
          <t>DVMT trades publicly at a persistent discount to VMware's value</t>
        </is>
      </c>
      <c r="E9" s="75" t="n"/>
      <c r="F9" s="75" t="n"/>
      <c r="G9" s="76" t="n"/>
      <c r="H9" s="79" t="n"/>
      <c r="I9" s="76" t="n">
        <v>0</v>
      </c>
      <c r="J9" s="78" t="inlineStr">
        <is>
          <t>Teaching point: tracking-stock discount</t>
        </is>
      </c>
    </row>
    <row r="10" ht="27.75" customHeight="1" s="60">
      <c r="B10" s="73" t="inlineStr">
        <is>
          <t>4  Reverse merger / re-IPO</t>
        </is>
      </c>
      <c r="C10" s="74" t="inlineStr">
        <is>
          <t>Dec 2018</t>
        </is>
      </c>
      <c r="D10" s="74" t="inlineStr">
        <is>
          <t>Class V bought back &amp; eliminated; re-lists as NYSE: DELL with no IPO</t>
        </is>
      </c>
      <c r="E10" s="75" t="n">
        <v>0.47</v>
      </c>
      <c r="F10" s="75" t="n">
        <v>0.72</v>
      </c>
      <c r="G10" s="76" t="n">
        <v>33</v>
      </c>
      <c r="H10" s="121">
        <f>E10*G10</f>
        <v/>
      </c>
      <c r="I10" s="76" t="n">
        <v>0</v>
      </c>
      <c r="J10" s="78" t="inlineStr">
        <is>
          <t>DVMT valued ~$23.9B (~$14B cash + Class C stock, after Icahn). Funded partly by ~$11B VMware special dividend (Dell received ~$9B). Super-voting Class A/B → 72% voting on 47% economics</t>
        </is>
      </c>
    </row>
    <row r="11" ht="18.75" customHeight="1" s="60">
      <c r="B11" s="73" t="inlineStr">
        <is>
          <t>5  VMware spin-off</t>
        </is>
      </c>
      <c r="C11" s="74" t="inlineStr">
        <is>
          <t>Nov 2021</t>
        </is>
      </c>
      <c r="D11" s="74" t="inlineStr">
        <is>
          <t>VMware deconsolidated &amp; distributed to Dell holders</t>
        </is>
      </c>
      <c r="E11" s="75" t="n">
        <v>0.49</v>
      </c>
      <c r="F11" s="75" t="n">
        <v>0.72</v>
      </c>
      <c r="G11" s="76" t="n">
        <v>38</v>
      </c>
      <c r="H11" s="121">
        <f>E11*G11</f>
        <v/>
      </c>
      <c r="I11" s="76" t="n">
        <v>0</v>
      </c>
      <c r="J11" s="78" t="inlineStr">
        <is>
          <t>VMware paid $11.5B special dividend ($27.40/sh); Dell received ~$9.3B → debt paydown. MD also received VMware shares pro-rata</t>
        </is>
      </c>
    </row>
    <row r="12" ht="18.75" customHeight="1" s="60">
      <c r="B12" s="73" t="inlineStr">
        <is>
          <t>6  Public-company / AI era</t>
        </is>
      </c>
      <c r="C12" s="74" t="inlineStr">
        <is>
          <t>Mid-2026</t>
        </is>
      </c>
      <c r="D12" s="74" t="inlineStr">
        <is>
          <t>Dell Technologies (NYSE: DELL), post-VMware, AI-server surge</t>
        </is>
      </c>
      <c r="E12" s="75" t="n">
        <v>0.41</v>
      </c>
      <c r="F12" s="75" t="n">
        <v>0.72</v>
      </c>
      <c r="G12" s="76" t="n">
        <v>258.1</v>
      </c>
      <c r="H12" s="121">
        <f>E12*G12</f>
        <v/>
      </c>
      <c r="I12" s="76" t="n">
        <v>0</v>
      </c>
      <c r="J12" s="78" t="inlineStr">
        <is>
          <t>DELL $399.49/sh, ~$258B market cap (Jun 26 2026, +219% YTD on AI-server demand). MD ~265.7M shares ≈ ~$106B; ~41% economic / ~72% voting</t>
        </is>
      </c>
    </row>
    <row r="14" ht="15" customHeight="1" s="60">
      <c r="B14" s="80" t="inlineStr">
        <is>
          <t>THE PAYOFF</t>
        </is>
      </c>
    </row>
    <row r="15" ht="15" customHeight="1" s="60">
      <c r="B15" s="81" t="inlineStr">
        <is>
          <t>MD equity in (2013):</t>
        </is>
      </c>
      <c r="E15" s="82" t="n">
        <v>4.2</v>
      </c>
      <c r="F15" s="83" t="inlineStr">
        <is>
          <t>$B</t>
        </is>
      </c>
    </row>
    <row r="16" ht="15" customHeight="1" s="60">
      <c r="B16" s="81" t="inlineStr">
        <is>
          <t>MD Dell stake (mid-2026):</t>
        </is>
      </c>
      <c r="E16" s="82" t="n">
        <v>106.1</v>
      </c>
      <c r="F16" s="83" t="inlineStr">
        <is>
          <t>$B (excl. VMware proceeds &amp; dividends)</t>
        </is>
      </c>
    </row>
    <row r="17" ht="15" customHeight="1" s="60">
      <c r="B17" s="81" t="inlineStr">
        <is>
          <t>Multiple of money (Dell equity only):</t>
        </is>
      </c>
      <c r="E17" s="122">
        <f>E16/E15</f>
        <v/>
      </c>
    </row>
    <row r="18" ht="15" customHeight="1" s="60">
      <c r="B18" s="81" t="inlineStr">
        <is>
          <t>IRR (2013–2026, ~13 yrs, Dell equity only):</t>
        </is>
      </c>
      <c r="E18" s="123">
        <f>(E16/E15)^(1/13)-1</f>
        <v/>
      </c>
    </row>
    <row r="21" ht="15" customHeight="1" s="60">
      <c r="B21" s="86" t="inlineStr">
        <is>
          <t>Incl. Broadcom (~$81B, derived) + VMware cash (~$12B) from the LBO’s VMware spin-off, total value to Michael Dell ≈ $202B — a ~48x return on the 2013 equity check. See Value Creation &amp; IRR and Total Value Schedule tabs.</t>
        </is>
      </c>
    </row>
    <row r="22" ht="15" customHeight="1" s="60"/>
  </sheetData>
  <mergeCells count="2">
    <mergeCell ref="B14:J14"/>
    <mergeCell ref="B21:J2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&amp;K3C3F45MD Position Tracker&amp;R&amp;8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1"/>
  </sheetPr>
  <dimension ref="B2:F3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8" customWidth="1" style="59" min="2" max="2"/>
    <col width="10" customWidth="1" style="59" min="3" max="3"/>
    <col width="34" customWidth="1" style="59" min="5" max="5"/>
    <col width="10" customWidth="1" style="59" min="6" max="6"/>
  </cols>
  <sheetData>
    <row r="2" ht="18" customHeight="1" s="60">
      <c r="B2" s="71" t="inlineStr">
        <is>
          <t>Capital Stack at Each Transaction</t>
        </is>
      </c>
    </row>
    <row r="3" ht="15" customHeight="1" s="60">
      <c r="B3" s="63" t="inlineStr">
        <is>
          <t>Sources &amp; uses ($B) — approximate, from filings and press; illustrative of structure</t>
        </is>
      </c>
    </row>
    <row r="5" ht="15" customHeight="1" s="60">
      <c r="B5" s="87" t="inlineStr">
        <is>
          <t>2013 — Take-Private LBO</t>
        </is>
      </c>
    </row>
    <row r="6" ht="15" customHeight="1" s="60">
      <c r="B6" s="72" t="inlineStr">
        <is>
          <t>Sources</t>
        </is>
      </c>
      <c r="C6" s="72" t="inlineStr">
        <is>
          <t>$B</t>
        </is>
      </c>
      <c r="D6" s="72" t="n"/>
      <c r="E6" s="72" t="inlineStr">
        <is>
          <t>Uses</t>
        </is>
      </c>
      <c r="F6" s="72" t="inlineStr">
        <is>
          <t>$B</t>
        </is>
      </c>
    </row>
    <row r="7" ht="15" customHeight="1" s="60">
      <c r="B7" s="88" t="inlineStr">
        <is>
          <t>Michael Dell — rolled shares</t>
        </is>
      </c>
      <c r="C7" s="82" t="n">
        <v>3.7</v>
      </c>
      <c r="E7" s="88" t="inlineStr">
        <is>
          <t>Purchase Dell equity ($13.65/sh)</t>
        </is>
      </c>
      <c r="F7" s="82" t="n">
        <v>24.4</v>
      </c>
    </row>
    <row r="8" ht="15" customHeight="1" s="60">
      <c r="B8" s="88" t="inlineStr">
        <is>
          <t>Michael Dell / MSD — cash</t>
        </is>
      </c>
      <c r="C8" s="82" t="n">
        <v>0.5</v>
      </c>
      <c r="E8" s="88" t="inlineStr">
        <is>
          <t>Fees &amp; expenses</t>
        </is>
      </c>
      <c r="F8" s="82" t="n">
        <v>0.5</v>
      </c>
    </row>
    <row r="9" ht="15" customHeight="1" s="60">
      <c r="B9" s="88" t="inlineStr">
        <is>
          <t>Silver Lake — equity</t>
        </is>
      </c>
      <c r="C9" s="82" t="n">
        <v>1.4</v>
      </c>
    </row>
    <row r="10" ht="15" customHeight="1" s="60">
      <c r="B10" s="88" t="inlineStr">
        <is>
          <t>Microsoft — subordinated loan</t>
        </is>
      </c>
      <c r="C10" s="82" t="n">
        <v>2</v>
      </c>
    </row>
    <row r="11" ht="15" customHeight="1" s="60">
      <c r="B11" s="88" t="inlineStr">
        <is>
          <t>New term loans &amp; notes</t>
        </is>
      </c>
      <c r="C11" s="82" t="n">
        <v>13.8</v>
      </c>
    </row>
    <row r="12" ht="15" customHeight="1" s="60">
      <c r="B12" s="88" t="inlineStr">
        <is>
          <t>Dell cash &amp; receivables financing</t>
        </is>
      </c>
      <c r="C12" s="82" t="n">
        <v>3.5</v>
      </c>
    </row>
    <row r="13" ht="15" customHeight="1" s="60">
      <c r="B13" s="81" t="inlineStr">
        <is>
          <t>Total sources</t>
        </is>
      </c>
      <c r="C13" s="124">
        <f>SUM(C7:C12)</f>
        <v/>
      </c>
      <c r="E13" s="81" t="inlineStr">
        <is>
          <t>Total uses</t>
        </is>
      </c>
      <c r="F13" s="124">
        <f>SUM(F7:F12)</f>
        <v/>
      </c>
    </row>
    <row r="15" ht="15" customHeight="1" s="60">
      <c r="B15" s="87" t="inlineStr">
        <is>
          <t>2016 — EMC Acquisition (~$67B, largest tech M&amp;A)</t>
        </is>
      </c>
    </row>
    <row r="16" ht="15" customHeight="1" s="60">
      <c r="B16" s="72" t="inlineStr">
        <is>
          <t>Sources</t>
        </is>
      </c>
      <c r="C16" s="72" t="inlineStr">
        <is>
          <t>$B</t>
        </is>
      </c>
      <c r="D16" s="72" t="n"/>
      <c r="E16" s="72" t="inlineStr">
        <is>
          <t>Uses</t>
        </is>
      </c>
      <c r="F16" s="72" t="inlineStr">
        <is>
          <t>$B</t>
        </is>
      </c>
    </row>
    <row r="17" ht="15" customHeight="1" s="60">
      <c r="B17" s="88" t="inlineStr">
        <is>
          <t>New debt</t>
        </is>
      </c>
      <c r="C17" s="82" t="n">
        <v>45.9</v>
      </c>
      <c r="E17" s="88" t="inlineStr">
        <is>
          <t>Acquire EMC ($24.05 cash + 0.111 DVMT/sh)</t>
        </is>
      </c>
      <c r="F17" s="82" t="n">
        <v>67</v>
      </c>
    </row>
    <row r="18" ht="15" customHeight="1" s="60">
      <c r="B18" s="88" t="inlineStr">
        <is>
          <t>DVMT (Class V) tracking stock</t>
        </is>
      </c>
      <c r="C18" s="82" t="n">
        <v>20</v>
      </c>
    </row>
    <row r="19" ht="15" customHeight="1" s="60">
      <c r="B19" s="88" t="inlineStr">
        <is>
          <t>New equity (SL / MSD / Temasek)</t>
        </is>
      </c>
      <c r="C19" s="82" t="n">
        <v>4.4</v>
      </c>
    </row>
    <row r="20" ht="15" customHeight="1" s="60">
      <c r="B20" s="88" t="inlineStr">
        <is>
          <t>Cash on hand</t>
        </is>
      </c>
      <c r="C20" s="82" t="n">
        <v>-3.3</v>
      </c>
    </row>
    <row r="21" ht="15" customHeight="1" s="60">
      <c r="B21" s="81" t="inlineStr">
        <is>
          <t>Total sources</t>
        </is>
      </c>
      <c r="C21" s="124">
        <f>SUM(C17:C20)</f>
        <v/>
      </c>
      <c r="E21" s="81" t="inlineStr">
        <is>
          <t>Total uses</t>
        </is>
      </c>
      <c r="F21" s="124">
        <f>SUM(F17:F20)</f>
        <v/>
      </c>
    </row>
    <row r="23" ht="15" customHeight="1" s="60">
      <c r="B23" s="87" t="inlineStr">
        <is>
          <t>2018 — Reverse Merger / Re-Listing (buy back Class V)</t>
        </is>
      </c>
    </row>
    <row r="24" ht="15" customHeight="1" s="60">
      <c r="B24" s="72" t="inlineStr">
        <is>
          <t>Sources</t>
        </is>
      </c>
      <c r="C24" s="72" t="inlineStr">
        <is>
          <t>$B</t>
        </is>
      </c>
      <c r="D24" s="72" t="n"/>
      <c r="E24" s="72" t="inlineStr">
        <is>
          <t>Uses</t>
        </is>
      </c>
      <c r="F24" s="72" t="inlineStr">
        <is>
          <t>$B</t>
        </is>
      </c>
    </row>
    <row r="25" ht="15" customHeight="1" s="60">
      <c r="B25" s="88" t="inlineStr">
        <is>
          <t>VMware special dividend to Dell</t>
        </is>
      </c>
      <c r="C25" s="82" t="n">
        <v>9</v>
      </c>
      <c r="E25" s="88" t="inlineStr">
        <is>
          <t>Buy back &amp; eliminate DVMT/Class V</t>
        </is>
      </c>
      <c r="F25" s="82" t="n">
        <v>23.9</v>
      </c>
    </row>
    <row r="26" ht="15" customHeight="1" s="60">
      <c r="B26" s="88" t="inlineStr">
        <is>
          <t>New Class C shares issued</t>
        </is>
      </c>
      <c r="C26" s="82" t="n">
        <v>9.9</v>
      </c>
    </row>
    <row r="27" ht="15" customHeight="1" s="60">
      <c r="B27" s="88" t="inlineStr">
        <is>
          <t>Cash &amp; revolver</t>
        </is>
      </c>
      <c r="C27" s="82" t="n">
        <v>5</v>
      </c>
    </row>
    <row r="28" ht="15" customHeight="1" s="60">
      <c r="B28" s="81" t="inlineStr">
        <is>
          <t>Total sources</t>
        </is>
      </c>
      <c r="C28" s="124">
        <f>SUM(C25:C27)</f>
        <v/>
      </c>
      <c r="E28" s="81" t="inlineStr">
        <is>
          <t>Total uses</t>
        </is>
      </c>
      <c r="F28" s="124">
        <f>SUM(F25:F27)</f>
        <v/>
      </c>
    </row>
    <row r="30" ht="15" customHeight="1" s="60">
      <c r="B30" s="83" t="inlineStr">
        <is>
          <t>Note: 2013 included ~$7B+ of Dell's own cash/receivables financing; figures are approximate and rounded, drawn from SEC filings and contemporaneous press for teaching purposes.</t>
        </is>
      </c>
    </row>
  </sheetData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&amp;K3C3F45Capital Stack&amp;R&amp;8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B2:F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4" customWidth="1" style="59" min="2" max="2"/>
    <col width="10" customWidth="1" style="59" min="3" max="3"/>
    <col width="56" customWidth="1" style="59" min="4" max="4"/>
  </cols>
  <sheetData>
    <row r="2" ht="18" customHeight="1" s="60">
      <c r="B2" s="71" t="inlineStr">
        <is>
          <t>Michael Dell — Total 2013 Investment for ~75% of Private Dell</t>
        </is>
      </c>
    </row>
    <row r="3" ht="15" customHeight="1" s="60">
      <c r="B3" s="63" t="inlineStr">
        <is>
          <t>Equity roll + MSD cash + dividend waiver = his total check</t>
        </is>
      </c>
    </row>
    <row r="5" ht="15" customHeight="1" s="60">
      <c r="B5" s="90" t="inlineStr">
        <is>
          <t>Component</t>
        </is>
      </c>
      <c r="C5" s="90" t="inlineStr">
        <is>
          <t>$B</t>
        </is>
      </c>
      <c r="D5" s="90" t="inlineStr">
        <is>
          <t>Note</t>
        </is>
      </c>
    </row>
    <row r="6" ht="15" customHeight="1" s="60">
      <c r="B6" s="74" t="inlineStr">
        <is>
          <t>Rolled Dell shares (equity roll)</t>
        </is>
      </c>
      <c r="C6" s="91" t="n">
        <v>3.75</v>
      </c>
      <c r="D6" s="78" t="inlineStr">
        <is>
          <t>~273M shares he already owned, rolled into the new company (~$13.75/sh)</t>
        </is>
      </c>
    </row>
    <row r="7" ht="18.75" customHeight="1" s="60">
      <c r="B7" s="74" t="inlineStr">
        <is>
          <t>Cash investment via MSD</t>
        </is>
      </c>
      <c r="C7" s="91" t="n">
        <v>0.75</v>
      </c>
      <c r="D7" s="78" t="inlineStr">
        <is>
          <t>$750M of fresh cash through MSD (Capital/Partners) — per founder account; reconcile to DEFM14A</t>
        </is>
      </c>
    </row>
    <row r="8" ht="18.75" customHeight="1" s="60">
      <c r="B8" s="74" t="inlineStr">
        <is>
          <t>Dividend waiver on rolled shares</t>
        </is>
      </c>
      <c r="C8" s="91" t="n">
        <v>0.06</v>
      </c>
      <c r="D8" s="78" t="inlineStr">
        <is>
          <t>Forwent the $0.13 special + $0.08 Q3 dividend that public holders received — value he gave up</t>
        </is>
      </c>
    </row>
    <row r="9" ht="15" customHeight="1" s="60">
      <c r="B9" s="92" t="inlineStr">
        <is>
          <t>Total Michael Dell investment</t>
        </is>
      </c>
      <c r="C9" s="93">
        <f>SUM(C6:C8)</f>
        <v/>
      </c>
      <c r="D9" s="94" t="inlineStr">
        <is>
          <t>Buys ~75% of the new private Dell</t>
        </is>
      </c>
    </row>
    <row r="11" ht="15" customHeight="1" s="60">
      <c r="B11" s="88" t="inlineStr">
        <is>
          <t>Memo — Silver Lake equity (~25%)</t>
        </is>
      </c>
      <c r="C11" s="95" t="n">
        <v>1.4</v>
      </c>
    </row>
    <row r="12" ht="15" customHeight="1" s="60">
      <c r="B12" s="81" t="inlineStr">
        <is>
          <t>Total new private equity</t>
        </is>
      </c>
      <c r="C12" s="125">
        <f>C9+C11</f>
        <v/>
      </c>
    </row>
    <row r="13" ht="15" customHeight="1" s="60">
      <c r="B13" s="83" t="inlineStr">
        <is>
          <t>+ $2B Microsoft subordinated loan + ~$13–16B bank debt + Dell cash on hand</t>
        </is>
      </c>
    </row>
    <row r="15" ht="15" customHeight="1" s="60">
      <c r="B15" s="97" t="inlineStr">
        <is>
          <t>Source note: the $750M MSD cash and the dividend waiver are per Michael Dell’s account (Play Nice But Win); the exact figures should be reconciled to the definitive merger proxy (DEFM14A, “Special Factors — Financing” and “Interests of Directors and Officers”).</t>
        </is>
      </c>
    </row>
    <row r="16" ht="15" customHeight="1" s="60"/>
    <row r="17" ht="15" customHeight="1" s="60"/>
  </sheetData>
  <mergeCells count="1">
    <mergeCell ref="B15:F17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&amp;K3C3F45MD 2013 Investment&amp;R&amp;8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1"/>
  </sheetPr>
  <dimension ref="B2:H2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50" customWidth="1" style="59" min="2" max="2"/>
    <col width="12" customWidth="1" style="59" min="3" max="5"/>
  </cols>
  <sheetData>
    <row r="2" ht="18" customHeight="1" s="60">
      <c r="B2" s="71" t="inlineStr">
        <is>
          <t>Value Creation on Michael Dell’s Equity</t>
        </is>
      </c>
    </row>
    <row r="3" ht="15" customHeight="1" s="60">
      <c r="B3" s="63" t="inlineStr">
        <is>
          <t>The ‘best LBO in history’ math — a $4.2B check, and everything it became</t>
        </is>
      </c>
    </row>
    <row r="5" ht="15" customHeight="1" s="60">
      <c r="B5" s="88" t="inlineStr">
        <is>
          <t>Equity invested by Michael Dell (2013)</t>
        </is>
      </c>
      <c r="E5" s="98">
        <f>'MD 2013 Investment'!C9</f>
        <v/>
      </c>
    </row>
    <row r="7" ht="15" customHeight="1" s="60">
      <c r="B7" s="87" t="inlineStr">
        <is>
          <t>Value held &amp; realized (mid-2026)</t>
        </is>
      </c>
    </row>
    <row r="8" ht="15" customHeight="1" s="60">
      <c r="B8" s="88" t="inlineStr">
        <is>
          <t xml:space="preserve">  Dell Technologies stake (~265.7M sh × ~$399)</t>
        </is>
      </c>
      <c r="E8" s="82" t="n">
        <v>106.1</v>
      </c>
    </row>
    <row r="9" ht="15" customHeight="1" s="60">
      <c r="B9" s="88" t="inlineStr">
        <is>
          <t xml:space="preserve">  Broadcom stake (VMware spin-off 2021 → Broadcom 2023)</t>
        </is>
      </c>
      <c r="E9" s="99">
        <f>'MD Total Value Schedule'!C33</f>
        <v/>
      </c>
    </row>
    <row r="10" ht="15" customHeight="1" s="60">
      <c r="B10" s="88" t="inlineStr">
        <is>
          <t xml:space="preserve">  VMware cash consideration (2023)</t>
        </is>
      </c>
      <c r="E10" s="82" t="n">
        <v>12.1</v>
      </c>
    </row>
    <row r="11" ht="15" customHeight="1" s="60">
      <c r="B11" s="88" t="inlineStr">
        <is>
          <t xml:space="preserve">  Regular Dell dividends received (FY2022→, est.)</t>
        </is>
      </c>
      <c r="E11" s="82" t="n">
        <v>3</v>
      </c>
    </row>
    <row r="12" ht="15" customHeight="1" s="60">
      <c r="B12" s="81" t="inlineStr">
        <is>
          <t>Total value to Michael Dell</t>
        </is>
      </c>
      <c r="E12" s="124">
        <f>SUM(E8:E11)</f>
        <v/>
      </c>
    </row>
    <row r="13" ht="15" customHeight="1" s="60">
      <c r="B13" s="88" t="inlineStr">
        <is>
          <t>Holding period (years)</t>
        </is>
      </c>
      <c r="E13" s="100" t="n">
        <v>13</v>
      </c>
    </row>
    <row r="15" ht="15" customHeight="1" s="60">
      <c r="B15" s="81" t="inlineStr">
        <is>
          <t>Multiple of money — TOTAL</t>
        </is>
      </c>
      <c r="E15" s="122">
        <f>E12/E5</f>
        <v/>
      </c>
    </row>
    <row r="16" ht="15" customHeight="1" s="60">
      <c r="B16" s="81" t="inlineStr">
        <is>
          <t>IRR — TOTAL (~13 yrs)</t>
        </is>
      </c>
      <c r="E16" s="123">
        <f>(E12/E5)^(1/E13)-1</f>
        <v/>
      </c>
    </row>
    <row r="17" ht="15" customHeight="1" s="60">
      <c r="B17" s="88" t="inlineStr">
        <is>
          <t>Multiple of money — Dell stake only</t>
        </is>
      </c>
      <c r="E17" s="122">
        <f>E8/E5</f>
        <v/>
      </c>
    </row>
    <row r="18" ht="15" customHeight="1" s="60">
      <c r="B18" s="88" t="inlineStr">
        <is>
          <t>IRR — Dell stake only</t>
        </is>
      </c>
      <c r="E18" s="123">
        <f>(E8/E5)^(1/E13)-1</f>
        <v/>
      </c>
    </row>
    <row r="20" ht="15" customHeight="1" s="60">
      <c r="B20" s="97" t="inlineStr">
        <is>
          <t>All pools trace to the 2013 LBO. The Broadcom line is now derived (169.3M VMware shares → ~50% to stock → 0.2520 ratio → 10:1 split → ~213M AVGO × $379), ≈ $81B, not the earlier $90B estimate. At today’s prices a ~$4.2B equity check became ~$202B — roughly a 48x return over 13 years, before fully counting dividends.</t>
        </is>
      </c>
    </row>
    <row r="21" ht="15" customHeight="1" s="60"/>
    <row r="22" ht="15" customHeight="1" s="60"/>
    <row r="23" ht="15" customHeight="1" s="60"/>
    <row r="24" ht="15" customHeight="1" s="60"/>
  </sheetData>
  <mergeCells count="1">
    <mergeCell ref="B20:H24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&amp;K3C3F45Value Creation &amp; IRR&amp;R&amp;8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B2:F5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8" customWidth="1" style="59" min="2" max="2"/>
    <col width="13" customWidth="1" style="59" min="3" max="3"/>
    <col width="58" customWidth="1" style="59" min="4" max="4"/>
  </cols>
  <sheetData>
    <row r="2" ht="18" customHeight="1" s="60">
      <c r="B2" s="71" t="inlineStr">
        <is>
          <t>Michael Dell — Total Value Schedule</t>
        </is>
      </c>
    </row>
    <row r="3" ht="15" customHeight="1" s="60">
      <c r="B3" s="63" t="inlineStr">
        <is>
          <t>Value by pool — Dell, Broadcom, and the rest (as of Jun 26 2026)</t>
        </is>
      </c>
    </row>
    <row r="5" ht="15" customHeight="1" s="60">
      <c r="B5" s="72" t="inlineStr">
        <is>
          <t>Pool</t>
        </is>
      </c>
      <c r="C5" s="72" t="inlineStr">
        <is>
          <t>Value ($B)</t>
        </is>
      </c>
      <c r="D5" s="72" t="inlineStr">
        <is>
          <t>Note</t>
        </is>
      </c>
    </row>
    <row r="6" ht="15" customHeight="1" s="60">
      <c r="B6" s="74" t="inlineStr">
        <is>
          <t>Dell Technologies stake (NYSE: DELL)</t>
        </is>
      </c>
      <c r="C6" s="76" t="n">
        <v>106.1</v>
      </c>
      <c r="D6" s="78" t="inlineStr">
        <is>
          <t>265.7M shares × $399.49; ~41% economic / ~72% voting</t>
        </is>
      </c>
    </row>
    <row r="7" ht="18.75" customHeight="1" s="60">
      <c r="B7" s="74" t="inlineStr">
        <is>
          <t>Broadcom stake (NASDAQ: AVGO)</t>
        </is>
      </c>
      <c r="C7" s="101">
        <f>C33</f>
        <v/>
      </c>
      <c r="D7" s="102" t="inlineStr">
        <is>
          <t>~4–5% of Broadcom (~213M post-split shares). Derived below — replaces the $90B secondary estimate</t>
        </is>
      </c>
    </row>
    <row r="8" ht="15" customHeight="1" s="60">
      <c r="B8" s="74" t="inlineStr">
        <is>
          <t>Cash from VMware sale to Broadcom (2023)</t>
        </is>
      </c>
      <c r="C8" s="76" t="n">
        <v>12.1</v>
      </c>
      <c r="D8" s="78" t="inlineStr">
        <is>
          <t>Cash half of the $61B Broadcom acquisition</t>
        </is>
      </c>
    </row>
    <row r="9" ht="15" customHeight="1" s="60">
      <c r="B9" s="74" t="inlineStr">
        <is>
          <t>Cash from regular dividends (FY2022→, est.)</t>
        </is>
      </c>
      <c r="C9" s="76" t="n">
        <v>3</v>
      </c>
      <c r="D9" s="78" t="inlineStr">
        <is>
          <t>Dell regular dividends + VMware special dividends, cumulative</t>
        </is>
      </c>
    </row>
    <row r="10" ht="15" customHeight="1" s="60">
      <c r="B10" s="92" t="inlineStr">
        <is>
          <t>Subtotal — value created by the 2013 LBO</t>
        </is>
      </c>
      <c r="C10" s="103">
        <f>SUM(C6:C9)</f>
        <v/>
      </c>
      <c r="D10" s="94" t="inlineStr">
        <is>
          <t>All four pools trace directly to the buyout and the VMware it spun off</t>
        </is>
      </c>
    </row>
    <row r="12" ht="15" customHeight="1" s="60">
      <c r="B12" s="88" t="inlineStr">
        <is>
          <t>MSD Capital / family office &amp; other</t>
        </is>
      </c>
      <c r="C12" s="104" t="inlineStr">
        <is>
          <t>n/d</t>
        </is>
      </c>
      <c r="D12" s="105" t="inlineStr">
        <is>
          <t>Real estate, cash, other public &amp; private investments — not separately disclosed</t>
        </is>
      </c>
    </row>
    <row r="13" ht="18.75" customHeight="1" s="60">
      <c r="B13" s="88" t="inlineStr">
        <is>
          <t>Reported total net worth (mid-2026)</t>
        </is>
      </c>
      <c r="C13" s="106" t="inlineStr">
        <is>
          <t>179–213</t>
        </is>
      </c>
      <c r="D13" s="105" t="inlineStr">
        <is>
          <t>$B — Forbes / Bloomberg Billionaires Index; estimates vary with market prices &amp; methodology</t>
        </is>
      </c>
    </row>
    <row r="15" ht="15" customHeight="1" s="60">
      <c r="B15" s="81" t="inlineStr">
        <is>
          <t>Memo — LBO equity invested (2013)</t>
        </is>
      </c>
      <c r="C15" s="82" t="n">
        <v>4.2</v>
      </c>
    </row>
    <row r="16" ht="15" customHeight="1" s="60">
      <c r="B16" s="81" t="inlineStr">
        <is>
          <t>Multiple on LBO-derived value</t>
        </is>
      </c>
      <c r="C16" s="122">
        <f>C10/C15</f>
        <v/>
      </c>
    </row>
    <row r="17" ht="15" customHeight="1" s="60">
      <c r="B17" s="81" t="inlineStr">
        <is>
          <t>of which — cash realized to date (VMware sale + dividends)</t>
        </is>
      </c>
      <c r="C17" s="124">
        <f>C8+C9</f>
        <v/>
      </c>
    </row>
    <row r="18" ht="15" customHeight="1" s="60">
      <c r="B18" s="97" t="inlineStr">
        <is>
          <t>Takeaway: the four LBO-derived pools alone (~$211B) account for essentially all of Michael Dell’s reported fortune — the 2013 buyout and the VMware value it controlled are the overwhelming source of his wealth. The Broadcom figure is the softest line (estimated share count × a volatile price).</t>
        </is>
      </c>
    </row>
    <row r="19" ht="15" customHeight="1" s="60"/>
    <row r="20" ht="15" customHeight="1" s="60"/>
    <row r="21" ht="15" customHeight="1" s="60"/>
    <row r="23" ht="21.75" customHeight="1" s="60">
      <c r="B23" s="107" t="inlineStr">
        <is>
          <t>VALUE CREATED FOR MICHAEL DELL</t>
        </is>
      </c>
      <c r="C23" s="108">
        <f>C10-C15</f>
        <v/>
      </c>
      <c r="D23" s="109" t="inlineStr">
        <is>
          <t>From &lt; $5B of pre-LBO equity (~$4.2B) → ~$211B of LBO-derived value — a ~50x return over 13 years</t>
        </is>
      </c>
    </row>
    <row r="25" ht="15" customHeight="1" s="60">
      <c r="B25" s="87" t="inlineStr">
        <is>
          <t>Broadcom stake — derivation (replaces the soft $90B estimate)</t>
        </is>
      </c>
    </row>
    <row r="26" ht="15" customHeight="1" s="60">
      <c r="B26" s="88" t="inlineStr">
        <is>
          <t>VMware shares held by Michael Dell (pre-deal)</t>
        </is>
      </c>
      <c r="C26" s="110" t="n">
        <v>169.3</v>
      </c>
      <c r="D26" s="111" t="inlineStr">
        <is>
          <t>SEC/press: 169,278,015 shares</t>
        </is>
      </c>
    </row>
    <row r="27" ht="15" customHeight="1" s="60">
      <c r="B27" s="88" t="inlineStr">
        <is>
          <t>Portion elected to Broadcom stock (~50%)</t>
        </is>
      </c>
      <c r="C27" s="126">
        <f>C26*0.5</f>
        <v/>
      </c>
      <c r="D27" s="111" t="inlineStr">
        <is>
          <t>approx 50 percent to stock — implied by the ~$12.1B cash he took</t>
        </is>
      </c>
    </row>
    <row r="28" ht="15" customHeight="1" s="60">
      <c r="B28" s="88" t="inlineStr">
        <is>
          <t>Broadcom exchange ratio</t>
        </is>
      </c>
      <c r="C28" s="113" t="n">
        <v>0.252</v>
      </c>
      <c r="D28" s="111" t="inlineStr">
        <is>
          <t>Merger terms</t>
        </is>
      </c>
    </row>
    <row r="29" ht="15" customHeight="1" s="60">
      <c r="B29" s="88" t="inlineStr">
        <is>
          <t>AVGO shares received (pre-split)</t>
        </is>
      </c>
      <c r="C29" s="126">
        <f>C27*C28</f>
        <v/>
      </c>
      <c r="D29" s="111">
        <f>C27*C28</f>
        <v/>
      </c>
    </row>
    <row r="30" ht="15" customHeight="1" s="60">
      <c r="B30" s="88" t="inlineStr">
        <is>
          <t>2024 stock split factor</t>
        </is>
      </c>
      <c r="C30" s="110" t="n">
        <v>10</v>
      </c>
      <c r="D30" s="111" t="inlineStr">
        <is>
          <t>Broadcom 10-for-1, Jul 2024</t>
        </is>
      </c>
    </row>
    <row r="31" ht="15" customHeight="1" s="60">
      <c r="B31" s="88" t="inlineStr">
        <is>
          <t>AVGO shares held (post-split)</t>
        </is>
      </c>
      <c r="C31" s="126">
        <f>C29*C30</f>
        <v/>
      </c>
      <c r="D31" s="111">
        <f>C29*C30</f>
        <v/>
      </c>
    </row>
    <row r="32" ht="15" customHeight="1" s="60">
      <c r="B32" s="88" t="inlineStr">
        <is>
          <t>AVGO price (Jun 25 2026)</t>
        </is>
      </c>
      <c r="C32" s="114" t="n">
        <v>379</v>
      </c>
      <c r="D32" s="111" t="inlineStr">
        <is>
          <t>Market</t>
        </is>
      </c>
    </row>
    <row r="33" ht="15" customHeight="1" s="60">
      <c r="B33" s="81" t="inlineStr">
        <is>
          <t>Broadcom stake value</t>
        </is>
      </c>
      <c r="C33" s="115">
        <f>C31*C32/1000</f>
        <v/>
      </c>
      <c r="D33" s="116">
        <f>C31*C32/1000</f>
        <v/>
      </c>
    </row>
    <row r="34" ht="15" customHeight="1" s="60">
      <c r="B34" s="97" t="inlineStr">
        <is>
          <t>Key assumption: he still holds all the Broadcom shares (no sales since Nov 2023). Sensitivity: each ±$10 in AVGO ≈ ±$2.1B. Range ~$75–85B.</t>
        </is>
      </c>
    </row>
    <row r="35" ht="15" customHeight="1" s="60"/>
    <row r="37" ht="15" customHeight="1" s="60">
      <c r="B37" s="87" t="inlineStr">
        <is>
          <t>What Michael Dell RECEIVED in the Nov 2023 deal</t>
        </is>
      </c>
    </row>
    <row r="38" ht="15" customHeight="1" s="60">
      <c r="B38" s="88" t="inlineStr">
        <is>
          <t xml:space="preserve">  Cash (≈50% of his 169.3M VMW shares × $142.50)</t>
        </is>
      </c>
      <c r="C38" s="82" t="n">
        <v>12.1</v>
      </c>
    </row>
    <row r="39" ht="15" customHeight="1" s="60">
      <c r="B39" s="88" t="inlineStr">
        <is>
          <t xml:space="preserve">  Broadcom shares received (post-split)</t>
        </is>
      </c>
      <c r="C39" s="117">
        <f>C31</f>
        <v/>
      </c>
    </row>
    <row r="40" ht="15" customHeight="1" s="60">
      <c r="B40" s="88" t="inlineStr">
        <is>
          <t xml:space="preserve">  AVGO price at close (~Nov 22 2023, post-split)</t>
        </is>
      </c>
      <c r="C40" s="114" t="n">
        <v>97</v>
      </c>
    </row>
    <row r="41" ht="15" customHeight="1" s="60">
      <c r="B41" s="88" t="inlineStr">
        <is>
          <t xml:space="preserve">  Value of those shares at close</t>
        </is>
      </c>
      <c r="C41" s="124">
        <f>C39*C40/1000</f>
        <v/>
      </c>
    </row>
    <row r="42" ht="15" customHeight="1" s="60">
      <c r="B42" s="81" t="inlineStr">
        <is>
          <t xml:space="preserve">  Total received at the deal (cash + stock at close)</t>
        </is>
      </c>
      <c r="C42" s="118">
        <f>C38+C41</f>
        <v/>
      </c>
    </row>
    <row r="44" ht="15" customHeight="1" s="60">
      <c r="B44" s="81" t="inlineStr">
        <is>
          <t>Current value of those shares (mid-2026, AVGO $379)</t>
        </is>
      </c>
      <c r="C44" s="99">
        <f>C33</f>
        <v/>
      </c>
    </row>
    <row r="45" ht="15" customHeight="1" s="60">
      <c r="B45" s="88" t="inlineStr">
        <is>
          <t>Unrealized appreciation since close (held, not received)</t>
        </is>
      </c>
      <c r="C45" s="124">
        <f>C33-C41</f>
        <v/>
      </c>
    </row>
    <row r="47" ht="15" customHeight="1" s="60">
      <c r="B47" s="87" t="inlineStr">
        <is>
          <t>Sensitivity — total value to Michael Dell at lower equity prices</t>
        </is>
      </c>
    </row>
    <row r="48" ht="15" customHeight="1" s="60">
      <c r="B48" s="88" t="inlineStr">
        <is>
          <t>Base case (current market)</t>
        </is>
      </c>
      <c r="C48" s="124">
        <f>C10</f>
        <v/>
      </c>
    </row>
    <row r="49" ht="15" customHeight="1" s="60">
      <c r="B49" s="88" t="inlineStr">
        <is>
          <t>If Dell + Broadcom fall 25%</t>
        </is>
      </c>
      <c r="C49" s="124">
        <f>(C6+C7)*0.75+C8+C9</f>
        <v/>
      </c>
    </row>
    <row r="50" ht="15" customHeight="1" s="60">
      <c r="B50" s="81" t="inlineStr">
        <is>
          <t>If Dell + Broadcom fall 50%</t>
        </is>
      </c>
      <c r="C50" s="124">
        <f>(C6+C7)*0.5+C8+C9</f>
        <v/>
      </c>
    </row>
    <row r="51" ht="15" customHeight="1" s="60">
      <c r="B51" s="97" t="inlineStr">
        <is>
          <t>Market-sensitive pools = Dell stake + Broadcom (~$187B of the ~$202B); VMware cash and dividends are realized and fixed. Most of the gain is unrealized and concentrated in two AI-exposed names.</t>
        </is>
      </c>
    </row>
    <row r="52" ht="15" customHeight="1" s="60"/>
    <row r="53" ht="15" customHeight="1" s="60"/>
  </sheetData>
  <mergeCells count="3">
    <mergeCell ref="B34:F35"/>
    <mergeCell ref="B51:F53"/>
    <mergeCell ref="B18:F2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&amp;K3C3F45MD Total Value Schedule&amp;R&amp;8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1"/>
  </sheetPr>
  <dimension ref="B2:G1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10" customWidth="1" style="59" min="2" max="2"/>
    <col width="18" customWidth="1" style="59" min="3" max="3"/>
    <col width="24" customWidth="1" style="59" min="4" max="4"/>
    <col width="11" customWidth="1" style="59" min="5" max="5"/>
    <col width="20" customWidth="1" style="59" min="6" max="6"/>
    <col width="34" customWidth="1" style="59" min="7" max="7"/>
  </cols>
  <sheetData>
    <row r="2" ht="18" customHeight="1" s="60">
      <c r="B2" s="71" t="inlineStr">
        <is>
          <t>Dividends &amp; Distributions</t>
        </is>
      </c>
    </row>
    <row r="3" ht="15" customHeight="1" s="60">
      <c r="B3" s="63" t="inlineStr">
        <is>
          <t>Every special and regular dividend, and the total returned</t>
        </is>
      </c>
    </row>
    <row r="5" ht="26.25" customHeight="1" s="60">
      <c r="B5" s="72" t="inlineStr">
        <is>
          <t>Date</t>
        </is>
      </c>
      <c r="C5" s="72" t="inlineStr">
        <is>
          <t>Source</t>
        </is>
      </c>
      <c r="D5" s="72" t="inlineStr">
        <is>
          <t>Type</t>
        </is>
      </c>
      <c r="E5" s="72" t="inlineStr">
        <is>
          <t>Total ($B)</t>
        </is>
      </c>
      <c r="F5" s="72" t="inlineStr">
        <is>
          <t>To Dell / shareholders</t>
        </is>
      </c>
      <c r="G5" s="72" t="inlineStr">
        <is>
          <t>Note</t>
        </is>
      </c>
    </row>
    <row r="6" ht="15" customHeight="1" s="60">
      <c r="B6" s="88" t="inlineStr">
        <is>
          <t>Dec 2018</t>
        </is>
      </c>
      <c r="C6" s="88" t="inlineStr">
        <is>
          <t>VMware</t>
        </is>
      </c>
      <c r="D6" s="88" t="inlineStr">
        <is>
          <t>One-time special dividend</t>
        </is>
      </c>
      <c r="E6" s="82" t="n">
        <v>11</v>
      </c>
      <c r="F6" s="88" t="inlineStr">
        <is>
          <t>Dell received ~$9.0B</t>
        </is>
      </c>
      <c r="G6" s="105" t="inlineStr">
        <is>
          <t>Funded the Class V / DVMT buyback</t>
        </is>
      </c>
    </row>
    <row r="7" ht="18.75" customHeight="1" s="60">
      <c r="B7" s="88" t="inlineStr">
        <is>
          <t>Nov 2021</t>
        </is>
      </c>
      <c r="C7" s="88" t="inlineStr">
        <is>
          <t>VMware</t>
        </is>
      </c>
      <c r="D7" s="88" t="inlineStr">
        <is>
          <t>Special dividend at spin-off</t>
        </is>
      </c>
      <c r="E7" s="82" t="n">
        <v>11.5</v>
      </c>
      <c r="F7" s="88" t="inlineStr">
        <is>
          <t>Dell received ~$9.3B</t>
        </is>
      </c>
      <c r="G7" s="105" t="inlineStr">
        <is>
          <t>$27.40/sh to all holders; Dell used proceeds to repay debt</t>
        </is>
      </c>
    </row>
    <row r="8" ht="15" customHeight="1" s="60">
      <c r="B8" s="88" t="inlineStr">
        <is>
          <t>FY2022</t>
        </is>
      </c>
      <c r="C8" s="88" t="inlineStr">
        <is>
          <t>Dell Technologies</t>
        </is>
      </c>
      <c r="D8" s="88" t="inlineStr">
        <is>
          <t>Regular dividend initiated</t>
        </is>
      </c>
      <c r="E8" s="82" t="n">
        <v>1</v>
      </c>
      <c r="F8" s="88" t="inlineStr">
        <is>
          <t>$1.32/sh annualized</t>
        </is>
      </c>
      <c r="G8" s="105" t="inlineStr">
        <is>
          <t>First dividend since re-listing</t>
        </is>
      </c>
    </row>
    <row r="9" ht="15" customHeight="1" s="60">
      <c r="B9" s="88" t="inlineStr">
        <is>
          <t>FY2023</t>
        </is>
      </c>
      <c r="C9" s="88" t="inlineStr">
        <is>
          <t>Dell Technologies</t>
        </is>
      </c>
      <c r="D9" s="88" t="inlineStr">
        <is>
          <t>Regular dividend (+12%)</t>
        </is>
      </c>
      <c r="E9" s="82" t="n">
        <v>1.1</v>
      </c>
      <c r="F9" s="88" t="inlineStr">
        <is>
          <t>$1.48/sh</t>
        </is>
      </c>
      <c r="G9" s="105" t="n"/>
    </row>
    <row r="10" ht="15" customHeight="1" s="60">
      <c r="B10" s="88" t="inlineStr">
        <is>
          <t>FY2024</t>
        </is>
      </c>
      <c r="C10" s="88" t="inlineStr">
        <is>
          <t>Dell Technologies</t>
        </is>
      </c>
      <c r="D10" s="88" t="inlineStr">
        <is>
          <t>Regular dividend (+20%)</t>
        </is>
      </c>
      <c r="E10" s="82" t="n">
        <v>1.3</v>
      </c>
      <c r="F10" s="88" t="inlineStr">
        <is>
          <t>$1.78/sh</t>
        </is>
      </c>
      <c r="G10" s="105" t="n"/>
    </row>
    <row r="11" ht="15" customHeight="1" s="60">
      <c r="B11" s="88" t="inlineStr">
        <is>
          <t>FY2025</t>
        </is>
      </c>
      <c r="C11" s="88" t="inlineStr">
        <is>
          <t>Dell Technologies</t>
        </is>
      </c>
      <c r="D11" s="88" t="inlineStr">
        <is>
          <t>Regular dividend (+20%)</t>
        </is>
      </c>
      <c r="E11" s="82" t="n">
        <v>1.5</v>
      </c>
      <c r="F11" s="88" t="inlineStr">
        <is>
          <t>$2.14/sh</t>
        </is>
      </c>
      <c r="G11" s="105" t="inlineStr">
        <is>
          <t>Committed to grow 10%+/yr through FY2030</t>
        </is>
      </c>
    </row>
    <row r="12" ht="15" customHeight="1" s="60">
      <c r="D12" s="81" t="inlineStr">
        <is>
          <t>Total dividends</t>
        </is>
      </c>
      <c r="E12" s="124">
        <f>SUM(E6:E11)</f>
        <v/>
      </c>
    </row>
    <row r="13" ht="15" customHeight="1" s="60">
      <c r="B13" s="83" t="inlineStr">
        <is>
          <t>Plus buybacks: ~$7B returned to shareholders via dividends + repurchases since Q1 FY2023; additional $10B repurchase authorization in place.</t>
        </is>
      </c>
    </row>
    <row r="14" ht="15" customHeight="1" s="60">
      <c r="B14" s="88" t="inlineStr">
        <is>
          <t>FY2027</t>
        </is>
      </c>
      <c r="C14" s="88" t="inlineStr">
        <is>
          <t>Dell Technologies</t>
        </is>
      </c>
      <c r="D14" s="88" t="inlineStr">
        <is>
          <t>Regular dividend (current)</t>
        </is>
      </c>
      <c r="E14" s="82" t="n">
        <v>1.6</v>
      </c>
      <c r="F14" s="88" t="inlineStr">
        <is>
          <t>$2.52/sh ($0.63/qtr)</t>
        </is>
      </c>
      <c r="G14" s="119" t="inlineStr">
        <is>
          <t>Raised again; ~$2.1B total returned to holders last quarter incl. buybacks</t>
        </is>
      </c>
    </row>
    <row r="16" ht="15" customHeight="1" s="60">
      <c r="B16" s="97" t="inlineStr">
        <is>
          <t>Holding benefit &amp; ownership amplification: the regular Dell dividend (since FY2022) is value that accrues from holding — like the unrealized appreciation. Michael Dell collects it at ~41% ownership vs ~14% before the buyout, so the deal roughly tripled his share of every dividend dollar Dell pays.</t>
        </is>
      </c>
    </row>
    <row r="17" ht="15" customHeight="1" s="60"/>
    <row r="18" ht="15" customHeight="1" s="60"/>
  </sheetData>
  <mergeCells count="1">
    <mergeCell ref="B16:G18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&amp;K3C3F45Dividends &amp; Distributions&amp;R&amp;8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B2:J1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" customWidth="1" style="59" min="2" max="2"/>
    <col width="14" customWidth="1" style="59" min="3" max="10"/>
  </cols>
  <sheetData>
    <row r="2" ht="18" customHeight="1" s="60">
      <c r="B2" s="71" t="inlineStr">
        <is>
          <t>Sources</t>
        </is>
      </c>
    </row>
    <row r="3" ht="15" customHeight="1" s="60">
      <c r="B3" s="63" t="inlineStr">
        <is>
          <t>Public filings and press references</t>
        </is>
      </c>
    </row>
    <row r="5" ht="15" customHeight="1" s="60">
      <c r="B5" s="87" t="inlineStr">
        <is>
          <t>•</t>
        </is>
      </c>
      <c r="C5" s="120" t="inlineStr">
        <is>
          <t>Dell–Silver Lake take-private terms ($13.65/sh, ~$24.4B) — Dell Inc. 8-K / DEFA14A, FY2013, SEC EDGAR</t>
        </is>
      </c>
    </row>
    <row r="6" ht="15" customHeight="1" s="60">
      <c r="B6" s="87" t="inlineStr">
        <is>
          <t>•</t>
        </is>
      </c>
      <c r="C6" s="120" t="inlineStr">
        <is>
          <t>Dell–EMC ~$67B acquisition, DVMT tracking stock ($24.05 + 0.111 DVMT/sh) — Dell/EMC press release, Sep 7 2016; SEC EDGAR</t>
        </is>
      </c>
    </row>
    <row r="7" ht="21.75" customHeight="1" s="60">
      <c r="B7" s="87" t="inlineStr">
        <is>
          <t>•</t>
        </is>
      </c>
      <c r="C7" s="120" t="inlineStr">
        <is>
          <t>2018 reverse merger / Class V buyback (~$23.9B; ~$14B cash) &amp; VMware ~$11B special dividend — Dell 8-K/425, 2018; VMware press release Jul 2 2018</t>
        </is>
      </c>
    </row>
    <row r="8" ht="15" customHeight="1" s="60">
      <c r="B8" s="87" t="inlineStr">
        <is>
          <t>•</t>
        </is>
      </c>
      <c r="C8" s="120" t="inlineStr">
        <is>
          <t>VMware spin-off &amp; $11.5B special dividend ($27.40/sh), Nov 1 2021 — Dell Technologies newsroom; SEC filings</t>
        </is>
      </c>
    </row>
    <row r="9" ht="15" customHeight="1" s="60">
      <c r="B9" s="87" t="inlineStr">
        <is>
          <t>•</t>
        </is>
      </c>
      <c r="C9" s="120" t="inlineStr">
        <is>
          <t>Dell regular dividend history (FY2022 $1.32 → FY2025 ~$2.14; +10%/yr through FY2030) — Dell 8-K earnings exhibits, SEC EDGAR</t>
        </is>
      </c>
    </row>
    <row r="10" ht="15" customHeight="1" s="60">
      <c r="B10" s="87" t="inlineStr">
        <is>
          <t>•</t>
        </is>
      </c>
      <c r="C10" s="120" t="inlineStr">
        <is>
          <t>Michael Dell holdings ~265.7M shares ≈ ~$81B; net worth ~$179–213B (mid-2026) — Forbes / Bloomberg Billionaires Index</t>
        </is>
      </c>
    </row>
    <row r="11" ht="15" customHeight="1" s="60">
      <c r="B11" s="87" t="inlineStr">
        <is>
          <t>•</t>
        </is>
      </c>
      <c r="C11" s="120" t="inlineStr">
        <is>
          <t>Cash-flow figures (FY2020 OCF $9.3B; FY2024 OCF $8.7B, adj FCF $5.6B) — Dell 8-K earnings exhibits / Macrotrends</t>
        </is>
      </c>
    </row>
  </sheetData>
  <mergeCells count="7">
    <mergeCell ref="C7:J7"/>
    <mergeCell ref="C11:J11"/>
    <mergeCell ref="C6:J6"/>
    <mergeCell ref="C10:J10"/>
    <mergeCell ref="C5:J5"/>
    <mergeCell ref="C8:J8"/>
    <mergeCell ref="C9:J9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>
    <oddHeader>&amp;L&amp;8 &amp;K3C3F45Sources&amp;R&amp;8 &amp;KC89000BARATELLI INSTITUTE  *  MENTORING AT SCALE</oddHeader>
    <oddFooter>&amp;L&amp;8 &amp;K3C3F45baratelliinstitute.com&amp;C&amp;8 &amp;K3C3F45Page &amp;P of &amp;N&amp;R&amp;8 &amp;K3C3F45Dell Financial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2026-06-26T20:06:16Z</dcterms:created>
  <dcterms:modified xmlns:dcterms="http://purl.org/dc/terms/" xmlns:xsi="http://www.w3.org/2001/XMLSchema-instance" xsi:type="dcterms:W3CDTF">2026-07-08T20:43:09Z</dcterms:modified>
  <cp:revision>0</cp:revision>
</cp:coreProperties>
</file>