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INDEX" sheetId="1" state="visible" r:id="rId1"/>
    <sheet xmlns:r="http://schemas.openxmlformats.org/officeDocument/2006/relationships" name="1. Single Bond" sheetId="2" state="visible" r:id="rId2"/>
    <sheet xmlns:r="http://schemas.openxmlformats.org/officeDocument/2006/relationships" name="2. Portfolio" sheetId="3" state="visible" r:id="rId3"/>
    <sheet xmlns:r="http://schemas.openxmlformats.org/officeDocument/2006/relationships" name="3. Muni vs Taxable" sheetId="4" state="visible" r:id="rId4"/>
    <sheet xmlns:r="http://schemas.openxmlformats.org/officeDocument/2006/relationships" name="4. Yield Curve" sheetId="5" state="visible" r:id="rId5"/>
    <sheet xmlns:r="http://schemas.openxmlformats.org/officeDocument/2006/relationships" name="5. Reference" sheetId="6" state="visible" r:id="rId6"/>
    <sheet xmlns:r="http://schemas.openxmlformats.org/officeDocument/2006/relationships" name="6. Disclosures" sheetId="7" state="visible" r:id="rId7"/>
  </sheets>
  <definedNames/>
  <calcPr calcId="124519" fullCalcOnLoad="1" refMode="A1" iterate="1" iterateCount="200" iterateDelta="0.0001"/>
</workbook>
</file>

<file path=xl/styles.xml><?xml version="1.0" encoding="utf-8"?>
<styleSheet xmlns="http://schemas.openxmlformats.org/spreadsheetml/2006/main">
  <numFmts count="3">
    <numFmt numFmtId="164" formatCode="0.000%"/>
    <numFmt numFmtId="165" formatCode="#,##0.00;\(#,##0.00\)"/>
    <numFmt numFmtId="166" formatCode="0.000%;\(0.000%\)"/>
  </numFmts>
  <fonts count="25">
    <font>
      <name val="Calibri"/>
      <charset val="1"/>
      <family val="2"/>
      <color theme="1"/>
      <sz val="11"/>
    </font>
    <font>
      <name val="Arial"/>
      <family val="0"/>
      <sz val="10"/>
    </font>
    <font>
      <name val="Arial"/>
      <family val="0"/>
      <sz val="10"/>
    </font>
    <font>
      <name val="Arial"/>
      <family val="0"/>
      <sz val="10"/>
    </font>
    <font>
      <name val="Calibri"/>
      <charset val="1"/>
      <family val="0"/>
      <b val="1"/>
      <color rgb="FF0D2747"/>
      <sz val="22"/>
    </font>
    <font>
      <name val="Calibri"/>
      <charset val="1"/>
      <family val="0"/>
      <i val="1"/>
      <color rgb="FFC89000"/>
      <sz val="11"/>
    </font>
    <font>
      <name val="Calibri"/>
      <charset val="1"/>
      <family val="0"/>
      <color rgb="FF595959"/>
      <sz val="10"/>
    </font>
    <font>
      <name val="Calibri"/>
      <charset val="1"/>
      <family val="0"/>
      <b val="1"/>
      <color rgb="FFC00000"/>
      <sz val="10"/>
    </font>
    <font>
      <name val="Calibri"/>
      <charset val="1"/>
      <family val="0"/>
      <b val="1"/>
      <color rgb="FFFFFFFF"/>
      <sz val="12"/>
    </font>
    <font>
      <name val="Calibri"/>
      <charset val="1"/>
      <family val="0"/>
      <b val="1"/>
      <color rgb="FF0D2747"/>
      <sz val="11"/>
    </font>
    <font>
      <name val="Calibri"/>
      <charset val="1"/>
      <family val="0"/>
      <color rgb="FF000000"/>
      <sz val="11"/>
    </font>
    <font>
      <name val="Calibri"/>
      <charset val="1"/>
      <family val="0"/>
      <i val="1"/>
      <color rgb="FF595959"/>
      <sz val="9"/>
    </font>
    <font>
      <name val="Calibri"/>
      <charset val="1"/>
      <family val="0"/>
      <b val="1"/>
      <color rgb="FFFFFFFF"/>
      <sz val="16"/>
    </font>
    <font>
      <name val="Calibri"/>
      <charset val="1"/>
      <family val="0"/>
      <b val="1"/>
      <color rgb="FFFFFFFF"/>
      <sz val="11"/>
    </font>
    <font>
      <name val="Calibri"/>
      <charset val="1"/>
      <family val="0"/>
      <color rgb="FF0068FF"/>
      <sz val="11"/>
    </font>
    <font>
      <name val="Calibri"/>
      <charset val="1"/>
      <family val="0"/>
      <b val="1"/>
      <color rgb="FF000000"/>
      <sz val="11"/>
    </font>
    <font>
      <name val="Calibri"/>
      <charset val="1"/>
      <family val="0"/>
      <color rgb="FF0068FF"/>
      <sz val="10"/>
    </font>
    <font>
      <name val="Calibri"/>
      <color rgb="000068FF"/>
      <sz val="10"/>
      <u val="single"/>
    </font>
    <font>
      <name val="Calibri"/>
      <color rgb="FF000000"/>
      <sz val="11"/>
    </font>
    <font>
      <name val="Calibri"/>
      <color rgb="000068FF"/>
      <sz val="11"/>
    </font>
    <font>
      <name val="Calibri"/>
      <b val="1"/>
      <color rgb="FF000000"/>
      <sz val="11"/>
    </font>
    <font>
      <name val="Calibri"/>
      <i val="1"/>
      <color rgb="FF000000"/>
      <sz val="10"/>
    </font>
    <font>
      <name val="Calibri"/>
      <b val="1"/>
      <color rgb="FFFFFFFF"/>
      <sz val="11"/>
    </font>
    <font>
      <name val="Calibri"/>
      <i val="1"/>
      <color rgb="00000080"/>
      <sz val="9"/>
    </font>
    <font>
      <name val="Calibri"/>
      <b val="1"/>
      <color rgb="000D2747"/>
      <sz val="11"/>
    </font>
  </fonts>
  <fills count="9">
    <fill>
      <patternFill/>
    </fill>
    <fill>
      <patternFill patternType="gray125"/>
    </fill>
    <fill>
      <patternFill patternType="solid">
        <fgColor rgb="FFFDECEA"/>
        <bgColor rgb="FFE8F1FF"/>
      </patternFill>
    </fill>
    <fill>
      <patternFill patternType="solid">
        <fgColor rgb="FF0D2747"/>
        <bgColor rgb="FF333333"/>
      </patternFill>
    </fill>
    <fill>
      <patternFill patternType="solid">
        <fgColor rgb="FFE8F1FF"/>
        <bgColor rgb="FFFDECEA"/>
      </patternFill>
    </fill>
    <fill>
      <patternFill patternType="solid">
        <fgColor rgb="FFFFE8B0"/>
        <bgColor rgb="FFFDECEA"/>
      </patternFill>
    </fill>
    <fill>
      <patternFill patternType="solid">
        <fgColor rgb="00E8F1FF"/>
      </patternFill>
    </fill>
    <fill>
      <patternFill patternType="solid">
        <fgColor rgb="00FFE8B0"/>
      </patternFill>
    </fill>
    <fill>
      <patternFill patternType="solid">
        <fgColor rgb="000D2747"/>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00BFBFBF"/>
      </left>
      <right style="thin">
        <color rgb="00BFBFBF"/>
      </right>
      <top style="thin">
        <color rgb="00BFBFBF"/>
      </top>
      <bottom style="thin">
        <color rgb="00BFBFBF"/>
      </bottom>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9">
    <xf numFmtId="0" fontId="0" fillId="0"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2" borderId="1" applyAlignment="1" pivotButton="0" quotePrefix="0" xfId="0">
      <alignment horizontal="left" vertical="center" wrapText="1" indent="1"/>
    </xf>
    <xf numFmtId="0" fontId="8" fillId="3" borderId="0" applyAlignment="1" pivotButton="0" quotePrefix="0" xfId="0">
      <alignment horizontal="left" vertical="center" indent="1"/>
    </xf>
    <xf numFmtId="0" fontId="0" fillId="3" borderId="0" applyAlignment="1" pivotButton="0" quotePrefix="0" xfId="0">
      <alignment horizontal="general" vertical="bottom"/>
    </xf>
    <xf numFmtId="0" fontId="9" fillId="0" borderId="0" applyAlignment="1" pivotButton="0" quotePrefix="0" xfId="0">
      <alignment horizontal="left" vertical="center" indent="1"/>
    </xf>
    <xf numFmtId="0" fontId="10" fillId="0" borderId="0" applyAlignment="1" pivotButton="0" quotePrefix="0" xfId="0">
      <alignment horizontal="left" vertical="center" wrapText="1" indent="1"/>
    </xf>
    <xf numFmtId="0" fontId="10" fillId="0" borderId="0" applyAlignment="1" pivotButton="0" quotePrefix="0" xfId="0">
      <alignment horizontal="center" vertical="center"/>
    </xf>
    <xf numFmtId="0" fontId="10" fillId="0" borderId="0" applyAlignment="1" pivotButton="0" quotePrefix="0" xfId="0">
      <alignment horizontal="left" vertical="center" indent="1"/>
    </xf>
    <xf numFmtId="0" fontId="11" fillId="0" borderId="0" applyAlignment="1" pivotButton="0" quotePrefix="0" xfId="0">
      <alignment horizontal="left" vertical="center" indent="1"/>
    </xf>
    <xf numFmtId="0" fontId="12" fillId="3" borderId="0" applyAlignment="1" pivotButton="0" quotePrefix="0" xfId="0">
      <alignment horizontal="left" vertical="center" indent="1"/>
    </xf>
    <xf numFmtId="0" fontId="11" fillId="0" borderId="0" applyAlignment="1" pivotButton="0" quotePrefix="0" xfId="0">
      <alignment horizontal="left" vertical="center" indent="1"/>
    </xf>
    <xf numFmtId="0" fontId="13" fillId="3" borderId="1" applyAlignment="1" pivotButton="0" quotePrefix="0" xfId="0">
      <alignment horizontal="left" vertical="center" indent="1"/>
    </xf>
    <xf numFmtId="4" fontId="14" fillId="4" borderId="1" applyAlignment="1" pivotButton="0" quotePrefix="0" xfId="0">
      <alignment horizontal="right" vertical="center"/>
    </xf>
    <xf numFmtId="164" fontId="15" fillId="5" borderId="1" applyAlignment="1" pivotButton="0" quotePrefix="0" xfId="0">
      <alignment horizontal="right" vertical="center"/>
    </xf>
    <xf numFmtId="164" fontId="14" fillId="4" borderId="1" applyAlignment="1" pivotButton="0" quotePrefix="0" xfId="0">
      <alignment horizontal="right" vertical="center"/>
    </xf>
    <xf numFmtId="2" fontId="14" fillId="4" borderId="1" applyAlignment="1" pivotButton="0" quotePrefix="0" xfId="0">
      <alignment horizontal="right" vertical="center"/>
    </xf>
    <xf numFmtId="1" fontId="14" fillId="4" borderId="1" applyAlignment="1" pivotButton="0" quotePrefix="0" xfId="0">
      <alignment horizontal="right" vertical="center"/>
    </xf>
    <xf numFmtId="10" fontId="14" fillId="4" borderId="1" applyAlignment="1" pivotButton="0" quotePrefix="0" xfId="0">
      <alignment horizontal="right" vertical="center"/>
    </xf>
    <xf numFmtId="4" fontId="15" fillId="5" borderId="1" applyAlignment="1" pivotButton="0" quotePrefix="0" xfId="0">
      <alignment horizontal="right" vertical="center"/>
    </xf>
    <xf numFmtId="165" fontId="15" fillId="5" borderId="1" applyAlignment="1" pivotButton="0" quotePrefix="0" xfId="0">
      <alignment horizontal="right" vertical="center"/>
    </xf>
    <xf numFmtId="0" fontId="11" fillId="0" borderId="0" applyAlignment="1" pivotButton="0" quotePrefix="0" xfId="0">
      <alignment horizontal="left" vertical="center" wrapText="1" indent="1"/>
    </xf>
    <xf numFmtId="0" fontId="7" fillId="2" borderId="1" applyAlignment="1" pivotButton="0" quotePrefix="0" xfId="0">
      <alignment horizontal="center" vertical="center" indent="1"/>
    </xf>
    <xf numFmtId="0" fontId="10" fillId="0" borderId="0" applyAlignment="1" pivotButton="0" quotePrefix="0" xfId="0">
      <alignment horizontal="right" vertical="center"/>
    </xf>
    <xf numFmtId="0" fontId="13" fillId="3" borderId="1" applyAlignment="1" pivotButton="0" quotePrefix="0" xfId="0">
      <alignment horizontal="center" vertical="center" wrapText="1"/>
    </xf>
    <xf numFmtId="0" fontId="16" fillId="4" borderId="1" applyAlignment="1" pivotButton="0" quotePrefix="0" xfId="0">
      <alignment horizontal="left" vertical="center" indent="1"/>
    </xf>
    <xf numFmtId="3" fontId="14" fillId="4" borderId="1" applyAlignment="1" pivotButton="0" quotePrefix="0" xfId="0">
      <alignment horizontal="right" vertical="center"/>
    </xf>
    <xf numFmtId="3" fontId="15" fillId="5" borderId="1" applyAlignment="1" pivotButton="0" quotePrefix="0" xfId="0">
      <alignment horizontal="right" vertical="center"/>
    </xf>
    <xf numFmtId="2" fontId="15" fillId="5" borderId="1" applyAlignment="1" pivotButton="0" quotePrefix="0" xfId="0">
      <alignment horizontal="right" vertical="center"/>
    </xf>
    <xf numFmtId="0" fontId="0" fillId="3" borderId="1" applyAlignment="1" pivotButton="0" quotePrefix="0" xfId="0">
      <alignment horizontal="general" vertical="bottom"/>
    </xf>
    <xf numFmtId="0" fontId="13" fillId="3" borderId="0" applyAlignment="1" pivotButton="0" quotePrefix="0" xfId="0">
      <alignment horizontal="left" vertical="center" indent="1"/>
    </xf>
    <xf numFmtId="166" fontId="15" fillId="5" borderId="1" applyAlignment="1" pivotButton="0" quotePrefix="0" xfId="0">
      <alignment horizontal="right" vertical="center"/>
    </xf>
    <xf numFmtId="0" fontId="15" fillId="5" borderId="1" applyAlignment="1" pivotButton="0" quotePrefix="0" xfId="0">
      <alignment horizontal="center" vertical="center"/>
    </xf>
    <xf numFmtId="10" fontId="15" fillId="5" borderId="1" applyAlignment="1" pivotButton="0" quotePrefix="0" xfId="0">
      <alignment horizontal="right" vertical="center"/>
    </xf>
    <xf numFmtId="0" fontId="11" fillId="0" borderId="0" applyAlignment="1" pivotButton="0" quotePrefix="0" xfId="0">
      <alignment horizontal="left" vertical="center" wrapText="1" indent="1"/>
    </xf>
    <xf numFmtId="0" fontId="13" fillId="3" borderId="1" applyAlignment="1" pivotButton="0" quotePrefix="0" xfId="0">
      <alignment horizontal="center" vertical="center"/>
    </xf>
    <xf numFmtId="0" fontId="10" fillId="0" borderId="1" applyAlignment="1" pivotButton="0" quotePrefix="0" xfId="0">
      <alignment horizontal="left" vertical="center" indent="1"/>
    </xf>
    <xf numFmtId="0" fontId="11" fillId="0" borderId="1" applyAlignment="1" pivotButton="0" quotePrefix="0" xfId="0">
      <alignment horizontal="left" vertical="center" wrapText="1" indent="1"/>
    </xf>
    <xf numFmtId="0" fontId="9" fillId="0" borderId="0" applyAlignment="1" pivotButton="0" quotePrefix="0" xfId="0">
      <alignment horizontal="left" vertical="top" indent="1"/>
    </xf>
    <xf numFmtId="0" fontId="10" fillId="0" borderId="0" applyAlignment="1" pivotButton="0" quotePrefix="0" xfId="0">
      <alignment horizontal="left" vertical="top" wrapText="1" indent="1"/>
    </xf>
    <xf numFmtId="0" fontId="12" fillId="3" borderId="0" applyAlignment="1" pivotButton="0" quotePrefix="0" xfId="0">
      <alignment horizontal="left" vertical="center" inden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left" vertical="center"/>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2" borderId="1" applyAlignment="1" pivotButton="0" quotePrefix="0" xfId="0">
      <alignment horizontal="left" vertical="center" wrapText="1" indent="1"/>
    </xf>
    <xf numFmtId="0" fontId="0" fillId="0" borderId="4" pivotButton="0" quotePrefix="0" xfId="0"/>
    <xf numFmtId="0" fontId="8" fillId="3" borderId="0" applyAlignment="1" pivotButton="0" quotePrefix="0" xfId="0">
      <alignment horizontal="left" vertical="center" indent="1"/>
    </xf>
    <xf numFmtId="0" fontId="0" fillId="3" borderId="0" applyAlignment="1" pivotButton="0" quotePrefix="0" xfId="0">
      <alignment horizontal="general" vertical="bottom"/>
    </xf>
    <xf numFmtId="0" fontId="9" fillId="0" borderId="0" applyAlignment="1" pivotButton="0" quotePrefix="0" xfId="0">
      <alignment horizontal="left" vertical="center" indent="1"/>
    </xf>
    <xf numFmtId="0" fontId="10" fillId="0" borderId="0" applyAlignment="1" pivotButton="0" quotePrefix="0" xfId="0">
      <alignment horizontal="left" vertical="center" wrapText="1" indent="1"/>
    </xf>
    <xf numFmtId="0" fontId="10" fillId="0" borderId="0" applyAlignment="1" pivotButton="0" quotePrefix="0" xfId="0">
      <alignment horizontal="center" vertical="center"/>
    </xf>
    <xf numFmtId="0" fontId="10" fillId="0" borderId="0" applyAlignment="1" pivotButton="0" quotePrefix="0" xfId="0">
      <alignment horizontal="left" vertical="center" indent="1"/>
    </xf>
    <xf numFmtId="0" fontId="11" fillId="0" borderId="0" applyAlignment="1" pivotButton="0" quotePrefix="0" xfId="0">
      <alignment horizontal="left" vertical="center" indent="1"/>
    </xf>
    <xf numFmtId="0" fontId="17" fillId="0" borderId="0" applyAlignment="1" pivotButton="0" quotePrefix="0" xfId="0">
      <alignment horizontal="left" vertical="center"/>
    </xf>
    <xf numFmtId="0" fontId="12" fillId="3" borderId="0" applyAlignment="1" pivotButton="0" quotePrefix="0" xfId="0">
      <alignment horizontal="left" vertical="center" indent="1"/>
    </xf>
    <xf numFmtId="0" fontId="13" fillId="3" borderId="1" applyAlignment="1" pivotButton="0" quotePrefix="0" xfId="0">
      <alignment horizontal="left" vertical="center" indent="1"/>
    </xf>
    <xf numFmtId="4" fontId="14" fillId="4" borderId="1" applyAlignment="1" pivotButton="0" quotePrefix="0" xfId="0">
      <alignment horizontal="right" vertical="center"/>
    </xf>
    <xf numFmtId="164" fontId="15" fillId="5" borderId="1" applyAlignment="1" pivotButton="0" quotePrefix="0" xfId="0">
      <alignment horizontal="right" vertical="center"/>
    </xf>
    <xf numFmtId="164" fontId="14" fillId="4" borderId="1" applyAlignment="1" pivotButton="0" quotePrefix="0" xfId="0">
      <alignment horizontal="right" vertical="center"/>
    </xf>
    <xf numFmtId="2" fontId="14" fillId="4" borderId="1" applyAlignment="1" pivotButton="0" quotePrefix="0" xfId="0">
      <alignment horizontal="right" vertical="center"/>
    </xf>
    <xf numFmtId="1" fontId="14" fillId="4" borderId="1" applyAlignment="1" pivotButton="0" quotePrefix="0" xfId="0">
      <alignment horizontal="right" vertical="center"/>
    </xf>
    <xf numFmtId="10" fontId="14" fillId="4" borderId="1" applyAlignment="1" pivotButton="0" quotePrefix="0" xfId="0">
      <alignment horizontal="right" vertical="center"/>
    </xf>
    <xf numFmtId="4" fontId="15" fillId="5" borderId="1" applyAlignment="1" pivotButton="0" quotePrefix="0" xfId="0">
      <alignment horizontal="right" vertical="center"/>
    </xf>
    <xf numFmtId="165" fontId="15" fillId="5" borderId="1" applyAlignment="1" pivotButton="0" quotePrefix="0" xfId="0">
      <alignment horizontal="right" vertical="center"/>
    </xf>
    <xf numFmtId="0" fontId="18" fillId="0" borderId="0" applyAlignment="1" pivotButton="0" quotePrefix="0" xfId="0">
      <alignment horizontal="left" vertical="center" indent="1"/>
    </xf>
    <xf numFmtId="4" fontId="19" fillId="6" borderId="6" applyAlignment="1" pivotButton="0" quotePrefix="0" xfId="0">
      <alignment horizontal="right" vertical="center"/>
    </xf>
    <xf numFmtId="4" fontId="20" fillId="7" borderId="6" applyAlignment="1" pivotButton="0" quotePrefix="0" xfId="0">
      <alignment horizontal="right" vertical="center"/>
    </xf>
    <xf numFmtId="1" fontId="19" fillId="6" borderId="6" applyAlignment="1" pivotButton="0" quotePrefix="0" xfId="0">
      <alignment horizontal="right" vertical="center"/>
    </xf>
    <xf numFmtId="0" fontId="21" fillId="7" borderId="6" applyAlignment="1" pivotButton="0" quotePrefix="0" xfId="0">
      <alignment horizontal="left" vertical="center" indent="1"/>
    </xf>
    <xf numFmtId="0" fontId="11" fillId="0" borderId="0" applyAlignment="1" pivotButton="0" quotePrefix="0" xfId="0">
      <alignment horizontal="left" vertical="center" wrapText="1" indent="1"/>
    </xf>
    <xf numFmtId="0" fontId="22" fillId="8" borderId="0" applyAlignment="1" pivotButton="0" quotePrefix="0" xfId="0">
      <alignment horizontal="left" vertical="center" indent="1"/>
    </xf>
    <xf numFmtId="0" fontId="0" fillId="8" borderId="0" pivotButton="0" quotePrefix="0" xfId="0"/>
    <xf numFmtId="0" fontId="23" fillId="0" borderId="0" applyAlignment="1" pivotButton="0" quotePrefix="0" xfId="0">
      <alignment horizontal="left" vertical="center" wrapText="1" indent="1"/>
    </xf>
    <xf numFmtId="0" fontId="7" fillId="2" borderId="1" applyAlignment="1" pivotButton="0" quotePrefix="0" xfId="0">
      <alignment horizontal="center" vertical="center" indent="1"/>
    </xf>
    <xf numFmtId="0" fontId="0" fillId="0" borderId="5" pivotButton="0" quotePrefix="0" xfId="0"/>
    <xf numFmtId="0" fontId="10" fillId="0" borderId="0" applyAlignment="1" pivotButton="0" quotePrefix="0" xfId="0">
      <alignment horizontal="right" vertical="center"/>
    </xf>
    <xf numFmtId="0" fontId="13" fillId="3" borderId="1" applyAlignment="1" pivotButton="0" quotePrefix="0" xfId="0">
      <alignment horizontal="center" vertical="center" wrapText="1"/>
    </xf>
    <xf numFmtId="0" fontId="22" fillId="8" borderId="6" applyAlignment="1" pivotButton="0" quotePrefix="0" xfId="0">
      <alignment horizontal="center" vertical="center" wrapText="1"/>
    </xf>
    <xf numFmtId="0" fontId="16" fillId="4" borderId="1" applyAlignment="1" pivotButton="0" quotePrefix="0" xfId="0">
      <alignment horizontal="left" vertical="center" indent="1"/>
    </xf>
    <xf numFmtId="3" fontId="14" fillId="4" borderId="1" applyAlignment="1" pivotButton="0" quotePrefix="0" xfId="0">
      <alignment horizontal="right" vertical="center"/>
    </xf>
    <xf numFmtId="3" fontId="15" fillId="5" borderId="1" applyAlignment="1" pivotButton="0" quotePrefix="0" xfId="0">
      <alignment horizontal="right" vertical="center"/>
    </xf>
    <xf numFmtId="2" fontId="15" fillId="5" borderId="1" applyAlignment="1" pivotButton="0" quotePrefix="0" xfId="0">
      <alignment horizontal="right" vertical="center"/>
    </xf>
    <xf numFmtId="3" fontId="19" fillId="6" borderId="6" applyAlignment="1" pivotButton="0" quotePrefix="0" xfId="0">
      <alignment horizontal="right" vertical="center"/>
    </xf>
    <xf numFmtId="0" fontId="0" fillId="3" borderId="1" applyAlignment="1" pivotButton="0" quotePrefix="0" xfId="0">
      <alignment horizontal="general" vertical="bottom"/>
    </xf>
    <xf numFmtId="0" fontId="13" fillId="3" borderId="0" applyAlignment="1" pivotButton="0" quotePrefix="0" xfId="0">
      <alignment horizontal="left" vertical="center" indent="1"/>
    </xf>
    <xf numFmtId="166" fontId="15" fillId="5" borderId="1" applyAlignment="1" pivotButton="0" quotePrefix="0" xfId="0">
      <alignment horizontal="right" vertical="center"/>
    </xf>
    <xf numFmtId="0" fontId="15" fillId="5" borderId="1" applyAlignment="1" pivotButton="0" quotePrefix="0" xfId="0">
      <alignment horizontal="center" vertical="center"/>
    </xf>
    <xf numFmtId="10" fontId="15" fillId="5" borderId="1" applyAlignment="1" pivotButton="0" quotePrefix="0" xfId="0">
      <alignment horizontal="right" vertical="center"/>
    </xf>
    <xf numFmtId="0" fontId="13" fillId="3" borderId="1" applyAlignment="1" pivotButton="0" quotePrefix="0" xfId="0">
      <alignment horizontal="center" vertical="center"/>
    </xf>
    <xf numFmtId="0" fontId="10" fillId="0" borderId="1" applyAlignment="1" pivotButton="0" quotePrefix="0" xfId="0">
      <alignment horizontal="left" vertical="center" indent="1"/>
    </xf>
    <xf numFmtId="0" fontId="11" fillId="0" borderId="1" applyAlignment="1" pivotButton="0" quotePrefix="0" xfId="0">
      <alignment horizontal="left" vertical="center" wrapText="1" indent="1"/>
    </xf>
    <xf numFmtId="0" fontId="9" fillId="0" borderId="0" applyAlignment="1" pivotButton="0" quotePrefix="0" xfId="0">
      <alignment horizontal="left" vertical="top" indent="1"/>
    </xf>
    <xf numFmtId="0" fontId="10" fillId="0" borderId="0" applyAlignment="1" pivotButton="0" quotePrefix="0" xfId="0">
      <alignment horizontal="left" vertical="top" wrapText="1" indent="1"/>
    </xf>
    <xf numFmtId="0" fontId="24" fillId="0" borderId="0" applyAlignment="1" pivotButton="0" quotePrefix="0" xfId="0">
      <alignment horizontal="left" vertical="top" indent="1"/>
    </xf>
    <xf numFmtId="0" fontId="18" fillId="0" borderId="0"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DECEA"/>
      <rgbColor rgb="FFE8F1FF"/>
      <rgbColor rgb="FF660066"/>
      <rgbColor rgb="FFFF8080"/>
      <rgbColor rgb="FF0068FF"/>
      <rgbColor rgb="FFCCCCFF"/>
      <rgbColor rgb="FF000080"/>
      <rgbColor rgb="FFFF00FF"/>
      <rgbColor rgb="FFFFFF00"/>
      <rgbColor rgb="FF00FFFF"/>
      <rgbColor rgb="FF800080"/>
      <rgbColor rgb="FF800000"/>
      <rgbColor rgb="FF008080"/>
      <rgbColor rgb="FF0000FF"/>
      <rgbColor rgb="FF00CCFF"/>
      <rgbColor rgb="FFCCFFFF"/>
      <rgbColor rgb="FFCCFFCC"/>
      <rgbColor rgb="FFFFE8B0"/>
      <rgbColor rgb="FF99CCFF"/>
      <rgbColor rgb="FFFF99CC"/>
      <rgbColor rgb="FFCC99FF"/>
      <rgbColor rgb="FFFFCC99"/>
      <rgbColor rgb="FF3366FF"/>
      <rgbColor rgb="FF33CCCC"/>
      <rgbColor rgb="FF99CC00"/>
      <rgbColor rgb="FFFFCC00"/>
      <rgbColor rgb="FFC89000"/>
      <rgbColor rgb="FFFF6600"/>
      <rgbColor rgb="FF595959"/>
      <rgbColor rgb="FF969696"/>
      <rgbColor rgb="FF0D2747"/>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Relationships xmlns="http://schemas.openxmlformats.org/package/2006/relationships"><Relationship Type="http://schemas.openxmlformats.org/officeDocument/2006/relationships/hyperlink" Target="#INDEX!A1" TargetMode="External" Id="rId1"/></Relationships>
</file>

<file path=xl/worksheets/_rels/sheet3.xml.rels><Relationships xmlns="http://schemas.openxmlformats.org/package/2006/relationships"><Relationship Type="http://schemas.openxmlformats.org/officeDocument/2006/relationships/hyperlink" Target="#INDEX!A1" TargetMode="External" Id="rId1"/></Relationships>
</file>

<file path=xl/worksheets/_rels/sheet4.xml.rels><Relationships xmlns="http://schemas.openxmlformats.org/package/2006/relationships"><Relationship Type="http://schemas.openxmlformats.org/officeDocument/2006/relationships/hyperlink" Target="#INDEX!A1" TargetMode="External" Id="rId1"/></Relationships>
</file>

<file path=xl/worksheets/_rels/sheet5.xml.rels><Relationships xmlns="http://schemas.openxmlformats.org/package/2006/relationships"><Relationship Type="http://schemas.openxmlformats.org/officeDocument/2006/relationships/hyperlink" Target="#INDEX!A1" TargetMode="External" Id="rId1"/></Relationships>
</file>

<file path=xl/worksheets/_rels/sheet6.xml.rels><Relationships xmlns="http://schemas.openxmlformats.org/package/2006/relationships"><Relationship Type="http://schemas.openxmlformats.org/officeDocument/2006/relationships/hyperlink" Target="#INDEX!A1" TargetMode="External" Id="rId1"/></Relationships>
</file>

<file path=xl/worksheets/_rels/sheet7.xml.rels><Relationships xmlns="http://schemas.openxmlformats.org/package/2006/relationships"><Relationship Type="http://schemas.openxmlformats.org/officeDocument/2006/relationships/hyperlink" Target="#INDEX!A1" TargetMode="External" Id="rId1"/></Relationships>
</file>

<file path=xl/worksheets/sheet1.xml><?xml version="1.0" encoding="utf-8"?>
<worksheet xmlns="http://schemas.openxmlformats.org/spreadsheetml/2006/main">
  <sheetPr filterMode="0">
    <outlinePr summaryBelow="1" summaryRight="1"/>
    <pageSetUpPr fitToPage="1"/>
  </sheetPr>
  <dimension ref="B2:C27"/>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4" customWidth="1" style="43" min="1" max="1"/>
    <col width="32" customWidth="1" style="43" min="2" max="2"/>
    <col width="60" customWidth="1" style="43" min="3" max="3"/>
  </cols>
  <sheetData>
    <row r="2" ht="26.8" customHeight="1" s="44">
      <c r="B2" s="45" t="inlineStr">
        <is>
          <t>Bond Yield Workbook</t>
        </is>
      </c>
    </row>
    <row r="3" ht="15" customHeight="1" s="44">
      <c r="B3" s="46" t="inlineStr">
        <is>
          <t>The Baratelli Institute · Companion to the Bond Yield Calculator</t>
        </is>
      </c>
    </row>
    <row r="4" ht="15" customHeight="1" s="44">
      <c r="B4" s="47" t="inlineStr">
        <is>
          <t>baratelliinstitute.com/tool-bond-yield-calculator.html</t>
        </is>
      </c>
    </row>
    <row r="5" ht="43.5" customHeight="1" s="44">
      <c r="B5" s="48" t="inlineStr">
        <is>
          <t>★  EDUCATIONAL WORKBOOK — NOT INVESTMENT, TAX, OR LEGAL ADVICE. Full disclosures on Tab 6. Consult a fixed-income specialist for trade-level decisions. Sample data is illustrative — not a recommendation.</t>
        </is>
      </c>
      <c r="C5" s="49" t="n"/>
    </row>
    <row r="6" ht="15" customHeight="1" s="44">
      <c r="B6" s="50" t="inlineStr">
        <is>
          <t>TABS</t>
        </is>
      </c>
      <c r="C6" s="51" t="n"/>
    </row>
    <row r="7" ht="15" customHeight="1" s="44">
      <c r="B7" s="52" t="inlineStr">
        <is>
          <t>1. Single Bond</t>
        </is>
      </c>
      <c r="C7" s="53" t="inlineStr">
        <is>
          <t>YTM / YTC / YTW back-solve with after-tax treatment on one bond.</t>
        </is>
      </c>
    </row>
    <row r="8" ht="23.85" customHeight="1" s="44">
      <c r="B8" s="52" t="inlineStr">
        <is>
          <t>2. Portfolio</t>
        </is>
      </c>
      <c r="C8" s="53" t="inlineStr">
        <is>
          <t>Ten bonds side-by-side. YTM, YTW, weighted-average yield across the book.</t>
        </is>
      </c>
    </row>
    <row r="9" ht="23.85" customHeight="1" s="44">
      <c r="B9" s="52" t="inlineStr">
        <is>
          <t>3. Muni vs Taxable</t>
        </is>
      </c>
      <c r="C9" s="53" t="inlineStr">
        <is>
          <t>Tax-equivalent yield: is the muni actually better than the taxable comp?</t>
        </is>
      </c>
    </row>
    <row r="10" ht="15" customHeight="1" s="44">
      <c r="B10" s="52" t="inlineStr">
        <is>
          <t>4. Yield Curve</t>
        </is>
      </c>
      <c r="C10" s="53" t="inlineStr">
        <is>
          <t>Treasury curve snapshot with ladder illustration.</t>
        </is>
      </c>
    </row>
    <row r="11" ht="15" customHeight="1" s="44">
      <c r="B11" s="52" t="inlineStr">
        <is>
          <t>5. Reference</t>
        </is>
      </c>
      <c r="C11" s="53" t="inlineStr">
        <is>
          <t>The formulas, in plain English. Coupon, YTM, YTC, current yield, TEY.</t>
        </is>
      </c>
    </row>
    <row r="12" ht="15" customHeight="1" s="44">
      <c r="B12" s="52" t="inlineStr">
        <is>
          <t>6. Disclosures</t>
        </is>
      </c>
      <c r="C12" s="53" t="inlineStr">
        <is>
          <t>Assumptions, limitations, what this workbook does not do.</t>
        </is>
      </c>
    </row>
    <row r="15" ht="15" customHeight="1" s="44">
      <c r="B15" s="50" t="inlineStr">
        <is>
          <t>HOW TO USE</t>
        </is>
      </c>
      <c r="C15" s="51" t="n"/>
    </row>
    <row r="16" ht="15" customHeight="1" s="44">
      <c r="B16" s="54" t="inlineStr">
        <is>
          <t>•</t>
        </is>
      </c>
      <c r="C16" s="55" t="inlineStr">
        <is>
          <t>Blue cells are inputs — you edit these.</t>
        </is>
      </c>
    </row>
    <row r="17" ht="15" customHeight="1" s="44">
      <c r="B17" s="54" t="inlineStr">
        <is>
          <t>•</t>
        </is>
      </c>
      <c r="C17" s="55" t="inlineStr">
        <is>
          <t>Gold cells are outputs — Excel calculates these; do not overwrite.</t>
        </is>
      </c>
    </row>
    <row r="18" ht="15" customHeight="1" s="44">
      <c r="B18" s="54" t="inlineStr">
        <is>
          <t>•</t>
        </is>
      </c>
      <c r="C18" s="55" t="inlineStr">
        <is>
          <t>Iterative calc is enabled (100 iterations, 0.001 tolerance) for YTM solving.</t>
        </is>
      </c>
    </row>
    <row r="19" ht="15" customHeight="1" s="44">
      <c r="B19" s="54" t="inlineStr">
        <is>
          <t>•</t>
        </is>
      </c>
      <c r="C19" s="55" t="inlineStr">
        <is>
          <t>All figures are educational; not investment advice.</t>
        </is>
      </c>
    </row>
    <row r="20" ht="15" customHeight="1" s="44">
      <c r="B20" s="54" t="inlineStr">
        <is>
          <t>•</t>
        </is>
      </c>
      <c r="C20" s="55" t="inlineStr">
        <is>
          <t>The tool at baratelliinstitute.com is the interactive version of the Single Bond tab.</t>
        </is>
      </c>
    </row>
    <row r="27" ht="15" customHeight="1" s="44">
      <c r="B27" s="56" t="inlineStr">
        <is>
          <t>Version 1.1 · 13 July 2026 · Committee Round 1 applied (data validation, disclaimer, sample banner, Portfolio duration + after-tax columns)</t>
        </is>
      </c>
    </row>
  </sheetData>
  <mergeCells count="4">
    <mergeCell ref="B3:C3"/>
    <mergeCell ref="B5:C5"/>
    <mergeCell ref="B4:C4"/>
    <mergeCell ref="B2:C2"/>
  </mergeCells>
  <printOptions horizontalCentered="0" verticalCentered="0" headings="0" gridLines="0" gridLinesSet="1"/>
  <pageMargins left="0.75" right="0.75" top="1" bottom="1" header="0.5" footer="0.5"/>
  <pageSetup orientation="portrait" paperSize="1" scale="100" fitToHeight="1" fitToWidth="1" pageOrder="downThenOver" blackAndWhite="0" draft="0" horizontalDpi="300" verticalDpi="300" copies="1"/>
  <headerFooter differentOddEven="0" differentFirst="0">
    <oddHeader>&amp;C&amp;10 BARATELLI INSTITUTE · BOND YIELD WORKBOOK</oddHeader>
    <oddFooter>&amp;C&amp;P of &amp;N</oddFooter>
    <evenHeader/>
    <evenFooter/>
    <firstHeader/>
    <firstFooter/>
  </headerFooter>
</worksheet>
</file>

<file path=xl/worksheets/sheet2.xml><?xml version="1.0" encoding="utf-8"?>
<worksheet xmlns="http://schemas.openxmlformats.org/spreadsheetml/2006/main">
  <sheetPr filterMode="0">
    <outlinePr summaryBelow="1" summaryRight="1"/>
    <pageSetUpPr fitToPage="1"/>
  </sheetPr>
  <dimension ref="A1:F31"/>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43" min="1" max="1"/>
    <col width="34" customWidth="1" style="43" min="2" max="2"/>
    <col width="18" customWidth="1" style="43" min="3" max="3"/>
    <col width="4" customWidth="1" style="43" min="4" max="4"/>
    <col width="34" customWidth="1" style="43" min="5" max="5"/>
    <col width="18" customWidth="1" style="43" min="6" max="6"/>
  </cols>
  <sheetData>
    <row r="1">
      <c r="A1" s="57" t="inlineStr">
        <is>
          <t>← Back to INDEX</t>
        </is>
      </c>
    </row>
    <row r="2" ht="25.5" customHeight="1" s="44">
      <c r="B2" s="58" t="inlineStr">
        <is>
          <t>Single Bond — YTM / YTC / YTW</t>
        </is>
      </c>
    </row>
    <row r="3" ht="15" customHeight="1" s="44">
      <c r="B3" s="56" t="inlineStr">
        <is>
          <t>Enter the bond in the blue cells. Yields calculate to the right.</t>
        </is>
      </c>
    </row>
    <row r="5" ht="15" customHeight="1" s="44">
      <c r="B5" s="59" t="inlineStr">
        <is>
          <t>INPUTS</t>
        </is>
      </c>
      <c r="C5" s="51" t="n"/>
      <c r="E5" s="59" t="inlineStr">
        <is>
          <t>RESULTS</t>
        </is>
      </c>
      <c r="F5" s="51" t="n"/>
    </row>
    <row r="6" ht="15" customHeight="1" s="44">
      <c r="B6" s="55" t="inlineStr">
        <is>
          <t>Face value ($)</t>
        </is>
      </c>
      <c r="C6" s="60" t="n">
        <v>1000</v>
      </c>
      <c r="E6" s="55" t="inlineStr">
        <is>
          <t>Current Yield</t>
        </is>
      </c>
      <c r="F6" s="61">
        <f>(C6*C7)/C8</f>
        <v/>
      </c>
    </row>
    <row r="7" ht="15" customHeight="1" s="44">
      <c r="B7" s="55" t="inlineStr">
        <is>
          <t>Coupon rate (annual %)</t>
        </is>
      </c>
      <c r="C7" s="62" t="n">
        <v>0.0425</v>
      </c>
      <c r="E7" s="55" t="inlineStr">
        <is>
          <t>Yield to Maturity (YTM)</t>
        </is>
      </c>
      <c r="F7" s="61">
        <f>RATE(C9*C10, C6*C7/C10, -C8, C6)*C10</f>
        <v/>
      </c>
    </row>
    <row r="8" ht="15" customHeight="1" s="44">
      <c r="B8" s="55" t="inlineStr">
        <is>
          <t>Market price ($)</t>
        </is>
      </c>
      <c r="C8" s="60" t="n">
        <v>965</v>
      </c>
      <c r="E8" s="55" t="inlineStr">
        <is>
          <t>Yield to Call (YTC)</t>
        </is>
      </c>
      <c r="F8" s="61">
        <f>IF(C11=1, RATE(C13*C10, C6*C7/C10, -C8, C12)*C10, "N/A — not callable")</f>
        <v/>
      </c>
    </row>
    <row r="9" ht="15" customHeight="1" s="44">
      <c r="B9" s="55" t="inlineStr">
        <is>
          <t>Years to maturity</t>
        </is>
      </c>
      <c r="C9" s="63" t="n">
        <v>10</v>
      </c>
      <c r="E9" s="55" t="inlineStr">
        <is>
          <t>Yield to Worst (YTW)</t>
        </is>
      </c>
      <c r="F9" s="61">
        <f>IF(C11=1, MIN(F7, IFERROR(RATE(C13*C10, C6*C7/C10, -C8, C12)*C10, F7)), F7)</f>
        <v/>
      </c>
    </row>
    <row r="10" ht="15" customHeight="1" s="44">
      <c r="B10" s="55" t="inlineStr">
        <is>
          <t>Payments per year</t>
        </is>
      </c>
      <c r="C10" s="64" t="n">
        <v>2</v>
      </c>
    </row>
    <row r="11" ht="15" customHeight="1" s="44">
      <c r="B11" s="55" t="inlineStr">
        <is>
          <t>Callable? (1=Yes, 0=No)</t>
        </is>
      </c>
      <c r="C11" s="64" t="n">
        <v>0</v>
      </c>
      <c r="E11" s="55" t="inlineStr">
        <is>
          <t>Effective coupon tax rate</t>
        </is>
      </c>
      <c r="F11" s="61">
        <f>IF(C16=1, C14+C15, IF(C16=2, C14, IF(C16=3, 0, IF(C16=4, C15, 0))))</f>
        <v/>
      </c>
    </row>
    <row r="12" ht="15" customHeight="1" s="44">
      <c r="B12" s="55" t="inlineStr">
        <is>
          <t>Call price ($)</t>
        </is>
      </c>
      <c r="C12" s="60" t="n">
        <v>1000</v>
      </c>
      <c r="E12" s="55" t="inlineStr">
        <is>
          <t>After-tax YTM (approximation)</t>
        </is>
      </c>
      <c r="F12" s="61">
        <f>RATE(C9*C10, (C6*C7*(1-F11))/C10, -C8, C6)*C10</f>
        <v/>
      </c>
    </row>
    <row r="13" ht="15" customHeight="1" s="44">
      <c r="B13" s="55" t="inlineStr">
        <is>
          <t>Years to call</t>
        </is>
      </c>
      <c r="C13" s="63" t="n">
        <v>5</v>
      </c>
    </row>
    <row r="14" ht="15" customHeight="1" s="44">
      <c r="B14" s="55" t="inlineStr">
        <is>
          <t>Federal tax rate (%)</t>
        </is>
      </c>
      <c r="C14" s="65" t="n">
        <v>0.32</v>
      </c>
      <c r="E14" s="55" t="inlineStr">
        <is>
          <t>Annual coupon ($)</t>
        </is>
      </c>
      <c r="F14" s="66">
        <f>C6*C7</f>
        <v/>
      </c>
    </row>
    <row r="15" ht="15" customHeight="1" s="44">
      <c r="B15" s="55" t="inlineStr">
        <is>
          <t>State tax rate (%)</t>
        </is>
      </c>
      <c r="C15" s="65" t="n">
        <v>0.093</v>
      </c>
      <c r="E15" s="55" t="inlineStr">
        <is>
          <t>Premium / (Discount) to par</t>
        </is>
      </c>
      <c r="F15" s="67">
        <f>C8-C6</f>
        <v/>
      </c>
    </row>
    <row r="16" ht="15" customHeight="1" s="44">
      <c r="B16" s="55" t="inlineStr">
        <is>
          <t>Bond type (1=Tax, 2=Treas, 3=InMuni, 4=OutMuni)</t>
        </is>
      </c>
      <c r="C16" s="64" t="n">
        <v>2</v>
      </c>
      <c r="E16" s="55" t="inlineStr">
        <is>
          <t>Total interest over remaining life</t>
        </is>
      </c>
      <c r="F16" s="66">
        <f>C6*C7*C9</f>
        <v/>
      </c>
    </row>
    <row r="17">
      <c r="B17" s="68" t="inlineStr">
        <is>
          <t>Accrued interest ($)</t>
        </is>
      </c>
      <c r="C17" s="69" t="n">
        <v>0</v>
      </c>
      <c r="E17" s="68" t="inlineStr">
        <is>
          <t>→ True cash outlay:</t>
        </is>
      </c>
      <c r="F17" s="70">
        <f>C8+C17</f>
        <v/>
      </c>
    </row>
    <row r="18">
      <c r="B18" s="68" t="inlineStr">
        <is>
          <t>Day-count (1=30/360, 2=Act/Act)</t>
        </is>
      </c>
      <c r="C18" s="71" t="n">
        <v>2</v>
      </c>
      <c r="E18" s="68" t="inlineStr">
        <is>
          <t>→ Convention:</t>
        </is>
      </c>
      <c r="F18" s="72">
        <f>IF(C18=1,"30/360 (corporates)","Actual/Actual (Treasuries)")</f>
        <v/>
      </c>
    </row>
    <row r="19" ht="15" customHeight="1" s="44">
      <c r="B19" s="59" t="inlineStr">
        <is>
          <t>BOND TYPE CODES</t>
        </is>
      </c>
      <c r="C19" s="51" t="n"/>
    </row>
    <row r="20" ht="15" customHeight="1" s="44">
      <c r="B20" s="55" t="inlineStr">
        <is>
          <t>1 — Fully taxable corporate</t>
        </is>
      </c>
      <c r="C20" s="56" t="inlineStr">
        <is>
          <t>Federal + state on coupon</t>
        </is>
      </c>
    </row>
    <row r="21" ht="15" customHeight="1" s="44">
      <c r="B21" s="55" t="inlineStr">
        <is>
          <t>2 — U.S. Treasury</t>
        </is>
      </c>
      <c r="C21" s="56" t="inlineStr">
        <is>
          <t>Federal only (state-exempt under 31 USC 3124)</t>
        </is>
      </c>
    </row>
    <row r="22" ht="15" customHeight="1" s="44">
      <c r="B22" s="55" t="inlineStr">
        <is>
          <t>3 — In-state municipal bond</t>
        </is>
      </c>
      <c r="C22" s="56" t="inlineStr">
        <is>
          <t>Federal + state exempt</t>
        </is>
      </c>
    </row>
    <row r="23" ht="15" customHeight="1" s="44">
      <c r="B23" s="55" t="inlineStr">
        <is>
          <t>4 — Out-of-state municipal</t>
        </is>
      </c>
      <c r="C23" s="56" t="inlineStr">
        <is>
          <t>Federal exempt; state-taxable</t>
        </is>
      </c>
    </row>
    <row r="25" ht="31.5" customHeight="1" s="44">
      <c r="B25" s="73" t="inlineStr">
        <is>
          <t>The After-tax YTM here is an approximation: it shrinks the coupon by the effective tax rate but does not model capital-gain treatment at maturity for a discount bond. For OID / de minimis muni discount treatment, consult a tax specialist.</t>
        </is>
      </c>
    </row>
    <row r="30">
      <c r="B30" s="74" t="inlineStr">
        <is>
          <t>TEST VERIFICATION</t>
        </is>
      </c>
      <c r="C30" s="75" t="n"/>
      <c r="D30" s="75" t="n"/>
      <c r="E30" s="75" t="n"/>
      <c r="F30" s="75" t="n"/>
    </row>
    <row r="31" ht="32" customHeight="1" s="44">
      <c r="B31" s="76" t="inlineStr">
        <is>
          <t>Known-good: input 4.25% coupon, 10 yr, price $965, semi-annual, Treasury → YTM should read 4.6925%. If not, iterative calc is disabled or sheet has been edited.</t>
        </is>
      </c>
    </row>
  </sheetData>
  <mergeCells count="4">
    <mergeCell ref="B2:F2"/>
    <mergeCell ref="B31:F31"/>
    <mergeCell ref="B25:F25"/>
    <mergeCell ref="B3:F3"/>
  </mergeCells>
  <dataValidations count="5">
    <dataValidation sqref="C16" showDropDown="0" showInputMessage="0" showErrorMessage="1" allowBlank="0" errorTitle="Invalid type code" error="Type must be 1 (Corporate), 2 (Treasury), 3 (In-state muni), or 4 (Out-state muni)" type="list" errorStyle="stop" operator="between">
      <formula1>"1,2,3,4"</formula1>
      <formula2>0</formula2>
    </dataValidation>
    <dataValidation sqref="C11" showDropDown="0" showInputMessage="0" showErrorMessage="1" allowBlank="0" errorTitle="Invalid input" error="Callable? must be 1 (Yes) or 0 (No)" type="list" errorStyle="stop" operator="between">
      <formula1>"0,1"</formula1>
      <formula2>0</formula2>
    </dataValidation>
    <dataValidation sqref="C16" showDropDown="0" showInputMessage="0" showErrorMessage="1" allowBlank="0" errorTitle="Invalid type code" error="Type must be 1 (Corporate), 2 (Treasury), 3 (In-state muni), or 4 (Out-state muni)" type="list">
      <formula1>"1,2,3,4"</formula1>
    </dataValidation>
    <dataValidation sqref="C11" showDropDown="0" showInputMessage="0" showErrorMessage="1" allowBlank="0" errorTitle="Invalid input" error="Callable? must be 1 (Yes) or 0 (No)" type="list">
      <formula1>"0,1"</formula1>
    </dataValidation>
    <dataValidation sqref="C18" showDropDown="0" showInputMessage="0" showErrorMessage="1" allowBlank="0" errorTitle="Invalid day-count" error="1 = 30/360 (corporates); 2 = Actual/Actual (Treasuries)" type="list">
      <formula1>"1,2"</formula1>
    </dataValidation>
  </dataValidations>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landscape" paperSize="1" scale="100" fitToHeight="1" fitToWidth="1" pageOrder="downThenOver" blackAndWhite="0" draft="0" horizontalDpi="300" verticalDpi="300" copies="1"/>
  <headerFooter differentOddEven="0" differentFirst="0">
    <oddHeader>&amp;C&amp;10 BARATELLI INSTITUTE · BOND YIELD WORKBOOK · SINGLE BOND</oddHeader>
    <oddFooter>&amp;C&amp;P of &amp;N</oddFooter>
    <evenHeader/>
    <evenFooter/>
    <firstHeader/>
    <firstFooter/>
  </headerFooter>
</worksheet>
</file>

<file path=xl/worksheets/sheet3.xml><?xml version="1.0" encoding="utf-8"?>
<worksheet xmlns="http://schemas.openxmlformats.org/spreadsheetml/2006/main">
  <sheetPr filterMode="0">
    <outlinePr summaryBelow="1" summaryRight="1"/>
    <pageSetUpPr fitToPage="1"/>
  </sheetPr>
  <dimension ref="A1:P27"/>
  <sheetViews>
    <sheetView showFormulas="0" showGridLines="1" showRowColHeaders="1" showZeros="1" rightToLeft="0" tabSelected="0" showOutlineSymbols="1" defaultGridColor="1"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3" customWidth="1" style="43" min="1" max="1"/>
    <col width="22" customWidth="1" style="43" min="2" max="2"/>
    <col width="12" customWidth="1" style="43" min="3" max="5"/>
    <col width="10" customWidth="1" style="43" min="6" max="6"/>
    <col width="8" customWidth="1" style="43" min="7" max="8"/>
    <col width="12" customWidth="1" style="43" min="9" max="10"/>
    <col width="14" customWidth="1" style="43" min="11" max="11"/>
    <col width="12" customWidth="1" style="43" min="12" max="13"/>
    <col width="11" customWidth="1" style="43" min="14" max="15"/>
    <col width="10" customWidth="1" style="44" min="16" max="16"/>
  </cols>
  <sheetData>
    <row r="1">
      <c r="A1" s="57" t="inlineStr">
        <is>
          <t>← Back to INDEX</t>
        </is>
      </c>
    </row>
    <row r="2" ht="25.5" customHeight="1" s="44">
      <c r="B2" s="58" t="inlineStr">
        <is>
          <t>Bond Portfolio — Multi-Bond Yield Workbench</t>
        </is>
      </c>
    </row>
    <row r="3" ht="15" customHeight="1" s="44">
      <c r="B3" s="56" t="inlineStr">
        <is>
          <t>Enter up to ten bonds in the blue cells. Yields calculate automatically. Weighted-average yields appear at the bottom.</t>
        </is>
      </c>
    </row>
    <row r="4" ht="21.75" customHeight="1" s="44">
      <c r="B4" s="77" t="inlineStr">
        <is>
          <t>★  SAMPLE DATA — the ten bonds below are ILLUSTRATIVE. Replace with your own holdings. Not recommendations. Not investment advice.</t>
        </is>
      </c>
      <c r="C4" s="78" t="n"/>
      <c r="D4" s="78" t="n"/>
      <c r="E4" s="78" t="n"/>
      <c r="F4" s="78" t="n"/>
      <c r="G4" s="78" t="n"/>
      <c r="H4" s="78" t="n"/>
      <c r="I4" s="78" t="n"/>
      <c r="J4" s="78" t="n"/>
      <c r="K4" s="78" t="n"/>
      <c r="L4" s="49" t="n"/>
    </row>
    <row r="5" ht="18" customHeight="1" s="44">
      <c r="B5" s="79" t="inlineStr">
        <is>
          <t>Federal tax rate:</t>
        </is>
      </c>
      <c r="C5" s="65" t="n">
        <v>0.32</v>
      </c>
      <c r="D5" s="79" t="inlineStr">
        <is>
          <t>State tax rate:</t>
        </is>
      </c>
      <c r="E5" s="65" t="n">
        <v>0.093</v>
      </c>
      <c r="F5" s="56" t="inlineStr">
        <is>
          <t xml:space="preserve">  ← These two rates feed the After-tax YTM column (M). Adjust for your marginal bracket.</t>
        </is>
      </c>
    </row>
    <row r="7" ht="23.85" customHeight="1" s="44">
      <c r="B7" s="80" t="inlineStr">
        <is>
          <t>Bond name / CUSIP</t>
        </is>
      </c>
      <c r="C7" s="80" t="inlineStr">
        <is>
          <t>Face ($)</t>
        </is>
      </c>
      <c r="D7" s="80" t="inlineStr">
        <is>
          <t>Coupon %</t>
        </is>
      </c>
      <c r="E7" s="80" t="inlineStr">
        <is>
          <t>Price ($)</t>
        </is>
      </c>
      <c r="F7" s="80" t="inlineStr">
        <is>
          <t>Yrs Mat</t>
        </is>
      </c>
      <c r="G7" s="80" t="inlineStr">
        <is>
          <t>Pmts/Yr</t>
        </is>
      </c>
      <c r="H7" s="80" t="inlineStr">
        <is>
          <t>Type*</t>
        </is>
      </c>
      <c r="I7" s="80" t="inlineStr">
        <is>
          <t>YTM</t>
        </is>
      </c>
      <c r="J7" s="80" t="inlineStr">
        <is>
          <t>Current Yld</t>
        </is>
      </c>
      <c r="K7" s="80" t="inlineStr">
        <is>
          <t>Mkt Value</t>
        </is>
      </c>
      <c r="L7" s="80" t="inlineStr">
        <is>
          <t>Annual $</t>
        </is>
      </c>
      <c r="M7" s="80" t="inlineStr">
        <is>
          <t>After-tax YTM</t>
        </is>
      </c>
      <c r="N7" s="80" t="inlineStr">
        <is>
          <t>Macaulay Dur (yr)</t>
        </is>
      </c>
      <c r="O7" s="80" t="inlineStr">
        <is>
          <t>Mod Dur (yr)</t>
        </is>
      </c>
      <c r="P7" s="81" t="inlineStr">
        <is>
          <t>Accrued ($)</t>
        </is>
      </c>
    </row>
    <row r="8" ht="15" customHeight="1" s="44">
      <c r="B8" s="82" t="inlineStr">
        <is>
          <t>US Treasury 4.25% 2035</t>
        </is>
      </c>
      <c r="C8" s="83" t="n">
        <v>100000</v>
      </c>
      <c r="D8" s="62" t="n">
        <v>0.0425</v>
      </c>
      <c r="E8" s="83" t="n">
        <v>96500</v>
      </c>
      <c r="F8" s="63" t="n">
        <v>10</v>
      </c>
      <c r="G8" s="64" t="n">
        <v>2</v>
      </c>
      <c r="H8" s="64" t="n">
        <v>2</v>
      </c>
      <c r="I8" s="61">
        <f>IFERROR(RATE(F8*G8, C8*D8/G8, -E8, C8)*G8, "")</f>
        <v/>
      </c>
      <c r="J8" s="61">
        <f>IFERROR((C8*D8)/E8, "")</f>
        <v/>
      </c>
      <c r="K8" s="84">
        <f>E8</f>
        <v/>
      </c>
      <c r="L8" s="84">
        <f>C8*D8</f>
        <v/>
      </c>
      <c r="M8" s="61">
        <f>IFERROR(RATE(F8*G8, C8*D8*(1-IF(H8=1,$C$5+$E$5,IF(H8=2,$C$5,IF(H8=3,0,IF(H8=4,$E$5,0)))))/G8, -E8, C8)*G8, "")</f>
        <v/>
      </c>
      <c r="N8" s="85">
        <f>IFERROR(DURATION(TODAY(),TODAY()+F8*365.25,D8,I8,G8), "")</f>
        <v/>
      </c>
      <c r="O8" s="85">
        <f>IFERROR(MDURATION(TODAY(),TODAY()+F8*365.25,D8,I8,G8), "")</f>
        <v/>
      </c>
      <c r="P8" s="86" t="n">
        <v>0</v>
      </c>
    </row>
    <row r="9" ht="15" customHeight="1" s="44">
      <c r="B9" s="82" t="inlineStr">
        <is>
          <t>US Treasury 3.75% 2029</t>
        </is>
      </c>
      <c r="C9" s="83" t="n">
        <v>50000</v>
      </c>
      <c r="D9" s="62" t="n">
        <v>0.0375</v>
      </c>
      <c r="E9" s="83" t="n">
        <v>49200</v>
      </c>
      <c r="F9" s="63" t="n">
        <v>4</v>
      </c>
      <c r="G9" s="64" t="n">
        <v>2</v>
      </c>
      <c r="H9" s="64" t="n">
        <v>2</v>
      </c>
      <c r="I9" s="61">
        <f>IFERROR(RATE(F9*G9, C9*D9/G9, -E9, C9)*G9, "")</f>
        <v/>
      </c>
      <c r="J9" s="61">
        <f>IFERROR((C9*D9)/E9, "")</f>
        <v/>
      </c>
      <c r="K9" s="84">
        <f>E9</f>
        <v/>
      </c>
      <c r="L9" s="84">
        <f>C9*D9</f>
        <v/>
      </c>
      <c r="M9" s="61">
        <f>IFERROR(RATE(F9*G9, C9*D9*(1-IF(H9=1,$C$5+$E$5,IF(H9=2,$C$5,IF(H9=3,0,IF(H9=4,$E$5,0)))))/G9, -E9, C9)*G9, "")</f>
        <v/>
      </c>
      <c r="N9" s="85">
        <f>IFERROR(DURATION(TODAY(),TODAY()+F9*365.25,D9,I9,G9), "")</f>
        <v/>
      </c>
      <c r="O9" s="85">
        <f>IFERROR(MDURATION(TODAY(),TODAY()+F9*365.25,D9,I9,G9), "")</f>
        <v/>
      </c>
      <c r="P9" s="86" t="n">
        <v>0</v>
      </c>
    </row>
    <row r="10" ht="15" customHeight="1" s="44">
      <c r="B10" s="82" t="inlineStr">
        <is>
          <t>Apple 4.10% 2033</t>
        </is>
      </c>
      <c r="C10" s="83" t="n">
        <v>25000</v>
      </c>
      <c r="D10" s="62" t="n">
        <v>0.041</v>
      </c>
      <c r="E10" s="83" t="n">
        <v>24800</v>
      </c>
      <c r="F10" s="63" t="n">
        <v>8</v>
      </c>
      <c r="G10" s="64" t="n">
        <v>2</v>
      </c>
      <c r="H10" s="64" t="n">
        <v>1</v>
      </c>
      <c r="I10" s="61">
        <f>IFERROR(RATE(F10*G10, C10*D10/G10, -E10, C10)*G10, "")</f>
        <v/>
      </c>
      <c r="J10" s="61">
        <f>IFERROR((C10*D10)/E10, "")</f>
        <v/>
      </c>
      <c r="K10" s="84">
        <f>E10</f>
        <v/>
      </c>
      <c r="L10" s="84">
        <f>C10*D10</f>
        <v/>
      </c>
      <c r="M10" s="61">
        <f>IFERROR(RATE(F10*G10, C10*D10*(1-IF(H10=1,$C$5+$E$5,IF(H10=2,$C$5,IF(H10=3,0,IF(H10=4,$E$5,0)))))/G10, -E10, C10)*G10, "")</f>
        <v/>
      </c>
      <c r="N10" s="85">
        <f>IFERROR(DURATION(TODAY(),TODAY()+F10*365.25,D10,I10,G10), "")</f>
        <v/>
      </c>
      <c r="O10" s="85">
        <f>IFERROR(MDURATION(TODAY(),TODAY()+F10*365.25,D10,I10,G10), "")</f>
        <v/>
      </c>
      <c r="P10" s="86" t="n">
        <v>0</v>
      </c>
    </row>
    <row r="11" ht="15" customHeight="1" s="44">
      <c r="B11" s="82" t="inlineStr">
        <is>
          <t>Microsoft 3.95% 2031</t>
        </is>
      </c>
      <c r="C11" s="83" t="n">
        <v>25000</v>
      </c>
      <c r="D11" s="62" t="n">
        <v>0.0395</v>
      </c>
      <c r="E11" s="83" t="n">
        <v>24600</v>
      </c>
      <c r="F11" s="63" t="n">
        <v>6</v>
      </c>
      <c r="G11" s="64" t="n">
        <v>2</v>
      </c>
      <c r="H11" s="64" t="n">
        <v>1</v>
      </c>
      <c r="I11" s="61">
        <f>IFERROR(RATE(F11*G11, C11*D11/G11, -E11, C11)*G11, "")</f>
        <v/>
      </c>
      <c r="J11" s="61">
        <f>IFERROR((C11*D11)/E11, "")</f>
        <v/>
      </c>
      <c r="K11" s="84">
        <f>E11</f>
        <v/>
      </c>
      <c r="L11" s="84">
        <f>C11*D11</f>
        <v/>
      </c>
      <c r="M11" s="61">
        <f>IFERROR(RATE(F11*G11, C11*D11*(1-IF(H11=1,$C$5+$E$5,IF(H11=2,$C$5,IF(H11=3,0,IF(H11=4,$E$5,0)))))/G11, -E11, C11)*G11, "")</f>
        <v/>
      </c>
      <c r="N11" s="85">
        <f>IFERROR(DURATION(TODAY(),TODAY()+F11*365.25,D11,I11,G11), "")</f>
        <v/>
      </c>
      <c r="O11" s="85">
        <f>IFERROR(MDURATION(TODAY(),TODAY()+F11*365.25,D11,I11,G11), "")</f>
        <v/>
      </c>
      <c r="P11" s="86" t="n">
        <v>0</v>
      </c>
    </row>
    <row r="12" ht="15" customHeight="1" s="44">
      <c r="B12" s="82" t="inlineStr">
        <is>
          <t>NY GO Muni 3.50% 2036</t>
        </is>
      </c>
      <c r="C12" s="83" t="n">
        <v>50000</v>
      </c>
      <c r="D12" s="62" t="n">
        <v>0.035</v>
      </c>
      <c r="E12" s="83" t="n">
        <v>51800</v>
      </c>
      <c r="F12" s="63" t="n">
        <v>11</v>
      </c>
      <c r="G12" s="64" t="n">
        <v>2</v>
      </c>
      <c r="H12" s="64" t="n">
        <v>3</v>
      </c>
      <c r="I12" s="61">
        <f>IFERROR(RATE(F12*G12, C12*D12/G12, -E12, C12)*G12, "")</f>
        <v/>
      </c>
      <c r="J12" s="61">
        <f>IFERROR((C12*D12)/E12, "")</f>
        <v/>
      </c>
      <c r="K12" s="84">
        <f>E12</f>
        <v/>
      </c>
      <c r="L12" s="84">
        <f>C12*D12</f>
        <v/>
      </c>
      <c r="M12" s="61">
        <f>IFERROR(RATE(F12*G12, C12*D12*(1-IF(H12=1,$C$5+$E$5,IF(H12=2,$C$5,IF(H12=3,0,IF(H12=4,$E$5,0)))))/G12, -E12, C12)*G12, "")</f>
        <v/>
      </c>
      <c r="N12" s="85">
        <f>IFERROR(DURATION(TODAY(),TODAY()+F12*365.25,D12,I12,G12), "")</f>
        <v/>
      </c>
      <c r="O12" s="85">
        <f>IFERROR(MDURATION(TODAY(),TODAY()+F12*365.25,D12,I12,G12), "")</f>
        <v/>
      </c>
      <c r="P12" s="86" t="n">
        <v>0</v>
      </c>
    </row>
    <row r="13" ht="15" customHeight="1" s="44">
      <c r="B13" s="82" t="inlineStr">
        <is>
          <t>CA GO Muni 3.75% 2038</t>
        </is>
      </c>
      <c r="C13" s="83" t="n">
        <v>30000</v>
      </c>
      <c r="D13" s="62" t="n">
        <v>0.0375</v>
      </c>
      <c r="E13" s="83" t="n">
        <v>30500</v>
      </c>
      <c r="F13" s="63" t="n">
        <v>13</v>
      </c>
      <c r="G13" s="64" t="n">
        <v>2</v>
      </c>
      <c r="H13" s="64" t="n">
        <v>4</v>
      </c>
      <c r="I13" s="61">
        <f>IFERROR(RATE(F13*G13, C13*D13/G13, -E13, C13)*G13, "")</f>
        <v/>
      </c>
      <c r="J13" s="61">
        <f>IFERROR((C13*D13)/E13, "")</f>
        <v/>
      </c>
      <c r="K13" s="84">
        <f>E13</f>
        <v/>
      </c>
      <c r="L13" s="84">
        <f>C13*D13</f>
        <v/>
      </c>
      <c r="M13" s="61">
        <f>IFERROR(RATE(F13*G13, C13*D13*(1-IF(H13=1,$C$5+$E$5,IF(H13=2,$C$5,IF(H13=3,0,IF(H13=4,$E$5,0)))))/G13, -E13, C13)*G13, "")</f>
        <v/>
      </c>
      <c r="N13" s="85">
        <f>IFERROR(DURATION(TODAY(),TODAY()+F13*365.25,D13,I13,G13), "")</f>
        <v/>
      </c>
      <c r="O13" s="85">
        <f>IFERROR(MDURATION(TODAY(),TODAY()+F13*365.25,D13,I13,G13), "")</f>
        <v/>
      </c>
      <c r="P13" s="86" t="n">
        <v>0</v>
      </c>
    </row>
    <row r="14" ht="15" customHeight="1" s="44">
      <c r="B14" s="82" t="inlineStr">
        <is>
          <t>Johnson &amp; Johnson 4.20% 2032</t>
        </is>
      </c>
      <c r="C14" s="83" t="n">
        <v>25000</v>
      </c>
      <c r="D14" s="62" t="n">
        <v>0.042</v>
      </c>
      <c r="E14" s="83" t="n">
        <v>25200</v>
      </c>
      <c r="F14" s="63" t="n">
        <v>7</v>
      </c>
      <c r="G14" s="64" t="n">
        <v>2</v>
      </c>
      <c r="H14" s="64" t="n">
        <v>1</v>
      </c>
      <c r="I14" s="61">
        <f>IFERROR(RATE(F14*G14, C14*D14/G14, -E14, C14)*G14, "")</f>
        <v/>
      </c>
      <c r="J14" s="61">
        <f>IFERROR((C14*D14)/E14, "")</f>
        <v/>
      </c>
      <c r="K14" s="84">
        <f>E14</f>
        <v/>
      </c>
      <c r="L14" s="84">
        <f>C14*D14</f>
        <v/>
      </c>
      <c r="M14" s="61">
        <f>IFERROR(RATE(F14*G14, C14*D14*(1-IF(H14=1,$C$5+$E$5,IF(H14=2,$C$5,IF(H14=3,0,IF(H14=4,$E$5,0)))))/G14, -E14, C14)*G14, "")</f>
        <v/>
      </c>
      <c r="N14" s="85">
        <f>IFERROR(DURATION(TODAY(),TODAY()+F14*365.25,D14,I14,G14), "")</f>
        <v/>
      </c>
      <c r="O14" s="85">
        <f>IFERROR(MDURATION(TODAY(),TODAY()+F14*365.25,D14,I14,G14), "")</f>
        <v/>
      </c>
      <c r="P14" s="86" t="n">
        <v>0</v>
      </c>
    </row>
    <row r="15" ht="15" customHeight="1" s="44">
      <c r="B15" s="82" t="inlineStr">
        <is>
          <t>Berkshire Hathaway 3.80% 2030</t>
        </is>
      </c>
      <c r="C15" s="83" t="n">
        <v>30000</v>
      </c>
      <c r="D15" s="62" t="n">
        <v>0.038</v>
      </c>
      <c r="E15" s="83" t="n">
        <v>29800</v>
      </c>
      <c r="F15" s="63" t="n">
        <v>5</v>
      </c>
      <c r="G15" s="64" t="n">
        <v>2</v>
      </c>
      <c r="H15" s="64" t="n">
        <v>1</v>
      </c>
      <c r="I15" s="61">
        <f>IFERROR(RATE(F15*G15, C15*D15/G15, -E15, C15)*G15, "")</f>
        <v/>
      </c>
      <c r="J15" s="61">
        <f>IFERROR((C15*D15)/E15, "")</f>
        <v/>
      </c>
      <c r="K15" s="84">
        <f>E15</f>
        <v/>
      </c>
      <c r="L15" s="84">
        <f>C15*D15</f>
        <v/>
      </c>
      <c r="M15" s="61">
        <f>IFERROR(RATE(F15*G15, C15*D15*(1-IF(H15=1,$C$5+$E$5,IF(H15=2,$C$5,IF(H15=3,0,IF(H15=4,$E$5,0)))))/G15, -E15, C15)*G15, "")</f>
        <v/>
      </c>
      <c r="N15" s="85">
        <f>IFERROR(DURATION(TODAY(),TODAY()+F15*365.25,D15,I15,G15), "")</f>
        <v/>
      </c>
      <c r="O15" s="85">
        <f>IFERROR(MDURATION(TODAY(),TODAY()+F15*365.25,D15,I15,G15), "")</f>
        <v/>
      </c>
      <c r="P15" s="86" t="n">
        <v>0</v>
      </c>
    </row>
    <row r="16" ht="15" customHeight="1" s="44">
      <c r="B16" s="82" t="inlineStr">
        <is>
          <t>US Treasury 4.50% 2054</t>
        </is>
      </c>
      <c r="C16" s="83" t="n">
        <v>100000</v>
      </c>
      <c r="D16" s="62" t="n">
        <v>0.045</v>
      </c>
      <c r="E16" s="83" t="n">
        <v>91000</v>
      </c>
      <c r="F16" s="63" t="n">
        <v>29</v>
      </c>
      <c r="G16" s="64" t="n">
        <v>2</v>
      </c>
      <c r="H16" s="64" t="n">
        <v>2</v>
      </c>
      <c r="I16" s="61">
        <f>IFERROR(RATE(F16*G16, C16*D16/G16, -E16, C16)*G16, "")</f>
        <v/>
      </c>
      <c r="J16" s="61">
        <f>IFERROR((C16*D16)/E16, "")</f>
        <v/>
      </c>
      <c r="K16" s="84">
        <f>E16</f>
        <v/>
      </c>
      <c r="L16" s="84">
        <f>C16*D16</f>
        <v/>
      </c>
      <c r="M16" s="61">
        <f>IFERROR(RATE(F16*G16, C16*D16*(1-IF(H16=1,$C$5+$E$5,IF(H16=2,$C$5,IF(H16=3,0,IF(H16=4,$E$5,0)))))/G16, -E16, C16)*G16, "")</f>
        <v/>
      </c>
      <c r="N16" s="85">
        <f>IFERROR(DURATION(TODAY(),TODAY()+F16*365.25,D16,I16,G16), "")</f>
        <v/>
      </c>
      <c r="O16" s="85">
        <f>IFERROR(MDURATION(TODAY(),TODAY()+F16*365.25,D16,I16,G16), "")</f>
        <v/>
      </c>
      <c r="P16" s="86" t="n">
        <v>0</v>
      </c>
    </row>
    <row r="17" ht="15" customHeight="1" s="44">
      <c r="B17" s="82" t="inlineStr">
        <is>
          <t>PG&amp;E 5.25% 2028</t>
        </is>
      </c>
      <c r="C17" s="83" t="n">
        <v>20000</v>
      </c>
      <c r="D17" s="62" t="n">
        <v>0.0525</v>
      </c>
      <c r="E17" s="83" t="n">
        <v>20400</v>
      </c>
      <c r="F17" s="63" t="n">
        <v>3</v>
      </c>
      <c r="G17" s="64" t="n">
        <v>2</v>
      </c>
      <c r="H17" s="64" t="n">
        <v>1</v>
      </c>
      <c r="I17" s="61">
        <f>IFERROR(RATE(F17*G17, C17*D17/G17, -E17, C17)*G17, "")</f>
        <v/>
      </c>
      <c r="J17" s="61">
        <f>IFERROR((C17*D17)/E17, "")</f>
        <v/>
      </c>
      <c r="K17" s="84">
        <f>E17</f>
        <v/>
      </c>
      <c r="L17" s="84">
        <f>C17*D17</f>
        <v/>
      </c>
      <c r="M17" s="61">
        <f>IFERROR(RATE(F17*G17, C17*D17*(1-IF(H17=1,$C$5+$E$5,IF(H17=2,$C$5,IF(H17=3,0,IF(H17=4,$E$5,0)))))/G17, -E17, C17)*G17, "")</f>
        <v/>
      </c>
      <c r="N17" s="85">
        <f>IFERROR(DURATION(TODAY(),TODAY()+F17*365.25,D17,I17,G17), "")</f>
        <v/>
      </c>
      <c r="O17" s="85">
        <f>IFERROR(MDURATION(TODAY(),TODAY()+F17*365.25,D17,I17,G17), "")</f>
        <v/>
      </c>
      <c r="P17" s="86" t="n">
        <v>0</v>
      </c>
    </row>
    <row r="19" ht="15" customHeight="1" s="44">
      <c r="B19" s="59" t="inlineStr">
        <is>
          <t>PORTFOLIO TOTALS</t>
        </is>
      </c>
      <c r="C19" s="87" t="n"/>
      <c r="D19" s="87" t="n"/>
      <c r="E19" s="87" t="n"/>
      <c r="F19" s="87" t="n"/>
      <c r="G19" s="87" t="n"/>
      <c r="H19" s="87" t="n"/>
      <c r="I19" s="87" t="n"/>
      <c r="J19" s="87" t="n"/>
      <c r="K19" s="87" t="n"/>
      <c r="L19" s="87" t="n"/>
      <c r="M19" s="87" t="n"/>
      <c r="N19" s="87" t="n"/>
      <c r="O19" s="87" t="n"/>
    </row>
    <row r="20" ht="15" customHeight="1" s="44">
      <c r="B20" s="55" t="inlineStr">
        <is>
          <t>Total market value</t>
        </is>
      </c>
      <c r="K20" s="84">
        <f>SUM(K8:K17)</f>
        <v/>
      </c>
    </row>
    <row r="21" ht="15" customHeight="1" s="44">
      <c r="B21" s="55" t="inlineStr">
        <is>
          <t>Total annual coupon $</t>
        </is>
      </c>
      <c r="L21" s="84">
        <f>SUM(L8:L17)</f>
        <v/>
      </c>
    </row>
    <row r="22" ht="15" customHeight="1" s="44">
      <c r="B22" s="55" t="inlineStr">
        <is>
          <t>Weighted-average YTM (by market value)</t>
        </is>
      </c>
      <c r="I22" s="61">
        <f>IFERROR(SUMPRODUCT(I8:I17,K8:K17)/SUM(K8:K17), "")</f>
        <v/>
      </c>
    </row>
    <row r="23" ht="15" customHeight="1" s="44">
      <c r="B23" s="55" t="inlineStr">
        <is>
          <t>Weighted-average current yield</t>
        </is>
      </c>
      <c r="J23" s="61">
        <f>IFERROR(SUMPRODUCT(J8:J17,K8:K17)/SUM(K8:K17), "")</f>
        <v/>
      </c>
    </row>
    <row r="24" ht="15" customHeight="1" s="44">
      <c r="B24" s="55" t="inlineStr">
        <is>
          <t>Portfolio effective yield (annual $ ÷ market value)</t>
        </is>
      </c>
      <c r="J24" s="61">
        <f>IFERROR(L21/K20, "")</f>
        <v/>
      </c>
    </row>
    <row r="26" ht="15" customHeight="1" s="44">
      <c r="B26" s="55" t="inlineStr">
        <is>
          <t>Weighted-average after-tax YTM</t>
        </is>
      </c>
      <c r="M26" s="61">
        <f>IFERROR(SUMPRODUCT(M8:M17,K8:K17)/SUM(K8:K17), "")</f>
        <v/>
      </c>
    </row>
    <row r="27" ht="15" customHeight="1" s="44">
      <c r="B27" s="55" t="inlineStr">
        <is>
          <t>Weighted-average modified duration (yr)</t>
        </is>
      </c>
      <c r="O27" s="85">
        <f>IFERROR(SUMPRODUCT(O8:O17,K8:K17)/SUM(K8:K17), "")</f>
        <v/>
      </c>
    </row>
  </sheetData>
  <mergeCells count="3">
    <mergeCell ref="B2:L2"/>
    <mergeCell ref="B4:L4"/>
    <mergeCell ref="F5:L5"/>
  </mergeCells>
  <dataValidations count="2">
    <dataValidation sqref="H8:H17" showDropDown="0" showInputMessage="0" showErrorMessage="1" allowBlank="0" errorTitle="Invalid type code" error="Type must be 1 (Corporate), 2 (Treasury), 3 (In-state muni), or 4 (Out-state muni)" type="list" errorStyle="stop" operator="between">
      <formula1>"1,2,3,4"</formula1>
      <formula2>0</formula2>
    </dataValidation>
    <dataValidation sqref="H8:H17" showDropDown="0" showInputMessage="0" showErrorMessage="1" allowBlank="0" errorTitle="Invalid type code" error="Type must be 1 (Corporate), 2 (Treasury), 3 (In-state muni), or 4 (Out-state muni)" type="list">
      <formula1>"1,2,3,4"</formula1>
    </dataValidation>
  </dataValidations>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landscape" paperSize="1" scale="100" fitToHeight="1" fitToWidth="1" pageOrder="downThenOver" blackAndWhite="0" draft="0" horizontalDpi="300" verticalDpi="300" copies="1"/>
  <headerFooter differentOddEven="0" differentFirst="0">
    <oddHeader>&amp;C&amp;10 BARATELLI INSTITUTE · BOND YIELD WORKBOOK · PORTFOLIO</oddHeader>
    <oddFooter>&amp;C&amp;P of &amp;N</oddFooter>
    <evenHeader/>
    <evenFooter/>
    <firstHeader/>
    <firstFooter/>
  </headerFooter>
</worksheet>
</file>

<file path=xl/worksheets/sheet4.xml><?xml version="1.0" encoding="utf-8"?>
<worksheet xmlns="http://schemas.openxmlformats.org/spreadsheetml/2006/main">
  <sheetPr filterMode="0">
    <outlinePr summaryBelow="1" summaryRight="1"/>
    <pageSetUpPr fitToPage="1"/>
  </sheetPr>
  <dimension ref="A1:F1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43" min="1" max="1"/>
    <col width="40" customWidth="1" style="43" min="2" max="2"/>
    <col width="16" customWidth="1" style="43" min="3" max="3"/>
    <col width="6" customWidth="1" style="43" min="4" max="4"/>
    <col width="40" customWidth="1" style="43" min="5" max="5"/>
    <col width="16" customWidth="1" style="43" min="6" max="6"/>
  </cols>
  <sheetData>
    <row r="1">
      <c r="A1" s="57" t="inlineStr">
        <is>
          <t>← Back to INDEX</t>
        </is>
      </c>
    </row>
    <row r="2" ht="25.5" customHeight="1" s="44">
      <c r="B2" s="58" t="inlineStr">
        <is>
          <t>Muni vs Taxable — Tax-Equivalent Yield</t>
        </is>
      </c>
    </row>
    <row r="3" ht="15" customHeight="1" s="44">
      <c r="B3" s="56" t="inlineStr">
        <is>
          <t>Is the tax-free muni actually better than the taxable comparable? Solve TEY and compare.</t>
        </is>
      </c>
    </row>
    <row r="5" ht="15" customHeight="1" s="44">
      <c r="B5" s="88" t="inlineStr">
        <is>
          <t>INPUTS</t>
        </is>
      </c>
      <c r="C5" s="51" t="n"/>
      <c r="E5" s="88" t="inlineStr">
        <is>
          <t>TAX-EQUIVALENT YIELDS</t>
        </is>
      </c>
      <c r="F5" s="51" t="n"/>
    </row>
    <row r="6" ht="15" customHeight="1" s="44">
      <c r="B6" s="55" t="inlineStr">
        <is>
          <t>Muni bond stated yield (%)</t>
        </is>
      </c>
      <c r="C6" s="62" t="n">
        <v>0.035</v>
      </c>
      <c r="E6" s="55" t="inlineStr">
        <is>
          <t>Effective tax rate that muni escapes</t>
        </is>
      </c>
      <c r="F6" s="61">
        <f>IF(C7=1, C10+C11, C10)</f>
        <v/>
      </c>
    </row>
    <row r="7" ht="15" customHeight="1" s="44">
      <c r="B7" s="55" t="inlineStr">
        <is>
          <t>Muni type (1=In-state, 2=Out-of-state)</t>
        </is>
      </c>
      <c r="C7" s="64" t="n">
        <v>1</v>
      </c>
      <c r="E7" s="55" t="inlineStr">
        <is>
          <t>Muni tax-equivalent yield (TEY)</t>
        </is>
      </c>
      <c r="F7" s="61">
        <f>C6/(1-F6)</f>
        <v/>
      </c>
    </row>
    <row r="8" ht="15" customHeight="1" s="44">
      <c r="B8" s="55" t="inlineStr">
        <is>
          <t>Comparable taxable Treasury yield (%)</t>
        </is>
      </c>
      <c r="C8" s="62" t="n">
        <v>0.0425</v>
      </c>
      <c r="E8" s="55" t="inlineStr">
        <is>
          <t>After-tax Treasury yield (fed only)</t>
        </is>
      </c>
      <c r="F8" s="61">
        <f>C8*(1-C10)</f>
        <v/>
      </c>
    </row>
    <row r="9" ht="15" customHeight="1" s="44">
      <c r="B9" s="55" t="inlineStr">
        <is>
          <t>Comparable taxable Corporate yield (%)</t>
        </is>
      </c>
      <c r="C9" s="62" t="n">
        <v>0.0475</v>
      </c>
      <c r="E9" s="55" t="inlineStr">
        <is>
          <t>After-tax Corporate yield (fed + state)</t>
        </is>
      </c>
      <c r="F9" s="61">
        <f>C9*(1-C10-C11)</f>
        <v/>
      </c>
    </row>
    <row r="10" ht="15" customHeight="1" s="44">
      <c r="B10" s="55" t="inlineStr">
        <is>
          <t>Federal marginal tax rate (%)</t>
        </is>
      </c>
      <c r="C10" s="62" t="n">
        <v>0.32</v>
      </c>
    </row>
    <row r="11" ht="15" customHeight="1" s="44">
      <c r="B11" s="55" t="inlineStr">
        <is>
          <t>State marginal tax rate (%)</t>
        </is>
      </c>
      <c r="C11" s="62" t="n">
        <v>0.093</v>
      </c>
    </row>
    <row r="12" ht="15" customHeight="1" s="44">
      <c r="B12" s="88" t="inlineStr">
        <is>
          <t>VERDICT</t>
        </is>
      </c>
      <c r="C12" s="51" t="n"/>
      <c r="D12" s="51" t="n"/>
      <c r="E12" s="51" t="n"/>
      <c r="F12" s="51" t="n"/>
    </row>
    <row r="13" ht="15" customHeight="1" s="44">
      <c r="B13" s="55" t="inlineStr">
        <is>
          <t>Muni better than Treasury by?</t>
        </is>
      </c>
      <c r="C13" s="89">
        <f>C6-F8</f>
        <v/>
      </c>
      <c r="E13" s="55" t="inlineStr">
        <is>
          <t>→ Verdict</t>
        </is>
      </c>
      <c r="F13" s="90">
        <f>IF(C6&gt;F8, "Muni wins", "Treasury wins")</f>
        <v/>
      </c>
    </row>
    <row r="14" ht="15" customHeight="1" s="44">
      <c r="B14" s="55" t="inlineStr">
        <is>
          <t>Muni better than Corporate by?</t>
        </is>
      </c>
      <c r="C14" s="89">
        <f>C6-F9</f>
        <v/>
      </c>
      <c r="E14" s="55" t="inlineStr">
        <is>
          <t>→ Verdict</t>
        </is>
      </c>
      <c r="F14" s="90">
        <f>IF(C6&gt;F9, "Muni wins", "Corporate wins")</f>
        <v/>
      </c>
    </row>
    <row r="16" ht="15" customHeight="1" s="44">
      <c r="B16" s="55" t="inlineStr">
        <is>
          <t>Break-even federal tax rate — Muni vs Treasury</t>
        </is>
      </c>
      <c r="C16" s="91">
        <f>1-(C6/C8)</f>
        <v/>
      </c>
      <c r="E16" s="73" t="inlineStr">
        <is>
          <t>→ Muni wins if your marginal fed rate exceeds this</t>
        </is>
      </c>
    </row>
    <row r="19" ht="31.5" customHeight="1" s="44">
      <c r="B19" s="73" t="inlineStr">
        <is>
          <t>Notes: The TEY calculation assumes the muni is federal-exempt. In-state munis are also state-exempt; out-of-state munis are federal-only exempt. Treasury interest is federal-only taxable (31 USC 3124). Alternative Minimum Tax on private-activity bonds is not modeled here.</t>
        </is>
      </c>
    </row>
  </sheetData>
  <mergeCells count="3">
    <mergeCell ref="B2:F2"/>
    <mergeCell ref="B3:F3"/>
    <mergeCell ref="B19:F19"/>
  </mergeCells>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landscape" paperSize="1" scale="100" fitToHeight="1" fitToWidth="1" pageOrder="downThenOver" blackAndWhite="0" draft="0" horizontalDpi="300" verticalDpi="300" copies="1"/>
  <headerFooter differentOddEven="0" differentFirst="0">
    <oddHeader>&amp;C&amp;10 BARATELLI INSTITUTE · BOND YIELD WORKBOOK · MUNI vs TAXABLE</oddHeader>
    <oddFooter>&amp;C&amp;P of &amp;N</oddFooter>
    <evenHeader/>
    <evenFooter/>
    <firstHeader/>
    <firstFooter/>
  </headerFooter>
</worksheet>
</file>

<file path=xl/worksheets/sheet5.xml><?xml version="1.0" encoding="utf-8"?>
<worksheet xmlns="http://schemas.openxmlformats.org/spreadsheetml/2006/main">
  <sheetPr filterMode="0">
    <outlinePr summaryBelow="1" summaryRight="1"/>
    <pageSetUpPr fitToPage="1"/>
  </sheetPr>
  <dimension ref="A1:G2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43" min="1" max="1"/>
    <col width="22" customWidth="1" style="43" min="2" max="2"/>
    <col width="12" customWidth="1" style="43" min="3" max="6"/>
    <col width="40" customWidth="1" style="43" min="7" max="7"/>
  </cols>
  <sheetData>
    <row r="1">
      <c r="A1" s="57" t="inlineStr">
        <is>
          <t>← Back to INDEX</t>
        </is>
      </c>
    </row>
    <row r="2" ht="25.5" customHeight="1" s="44">
      <c r="B2" s="58" t="inlineStr">
        <is>
          <t>Yield Curve &amp; Ladder Illustration</t>
        </is>
      </c>
    </row>
    <row r="3" ht="15" customHeight="1" s="44">
      <c r="B3" s="56" t="inlineStr">
        <is>
          <t>Enter today's Treasury curve (blue cells). Ladder economics calculate below.</t>
        </is>
      </c>
    </row>
    <row r="5" ht="15" customHeight="1" s="44">
      <c r="B5" s="92" t="inlineStr">
        <is>
          <t>Tenor</t>
        </is>
      </c>
      <c r="C5" s="92" t="inlineStr">
        <is>
          <t>Yield %</t>
        </is>
      </c>
      <c r="D5" s="92" t="inlineStr">
        <is>
          <t>Ladder Rung ($)</t>
        </is>
      </c>
      <c r="E5" s="92" t="inlineStr">
        <is>
          <t>Annual $ / rung</t>
        </is>
      </c>
      <c r="F5" s="92" t="inlineStr">
        <is>
          <t>10-yr coupon flow</t>
        </is>
      </c>
      <c r="G5" s="92" t="inlineStr">
        <is>
          <t>Notes</t>
        </is>
      </c>
    </row>
    <row r="6" ht="15" customHeight="1" s="44">
      <c r="B6" s="93" t="inlineStr">
        <is>
          <t>3-Month T-Bill</t>
        </is>
      </c>
      <c r="C6" s="62" t="n">
        <v>0.042</v>
      </c>
      <c r="D6" s="83" t="n">
        <v>20000</v>
      </c>
      <c r="E6" s="84">
        <f>C6*D6</f>
        <v/>
      </c>
      <c r="F6" s="84">
        <f>E6*10</f>
        <v/>
      </c>
      <c r="G6" s="94" t="inlineStr">
        <is>
          <t>Front end, short-duration cash equivalent</t>
        </is>
      </c>
    </row>
    <row r="7" ht="15" customHeight="1" s="44">
      <c r="B7" s="93" t="inlineStr">
        <is>
          <t>1-Year Treasury</t>
        </is>
      </c>
      <c r="C7" s="62" t="n">
        <v>0.0415</v>
      </c>
      <c r="D7" s="83" t="n">
        <v>20000</v>
      </c>
      <c r="E7" s="84">
        <f>C7*D7</f>
        <v/>
      </c>
      <c r="F7" s="84">
        <f>E7*10</f>
        <v/>
      </c>
      <c r="G7" s="94" t="inlineStr">
        <is>
          <t>First maturity to redeploy</t>
        </is>
      </c>
    </row>
    <row r="8" ht="15" customHeight="1" s="44">
      <c r="B8" s="93" t="inlineStr">
        <is>
          <t>2-Year Treasury</t>
        </is>
      </c>
      <c r="C8" s="62" t="n">
        <v>0.0405</v>
      </c>
      <c r="D8" s="83" t="n">
        <v>20000</v>
      </c>
      <c r="E8" s="84">
        <f>C8*D8</f>
        <v/>
      </c>
      <c r="F8" s="84">
        <f>E8*10</f>
        <v/>
      </c>
      <c r="G8" s="94" t="inlineStr">
        <is>
          <t>Rolls forward on 12-mo cycle</t>
        </is>
      </c>
    </row>
    <row r="9" ht="15" customHeight="1" s="44">
      <c r="B9" s="93" t="inlineStr">
        <is>
          <t>3-Year Treasury</t>
        </is>
      </c>
      <c r="C9" s="62" t="n">
        <v>0.0398</v>
      </c>
      <c r="D9" s="83" t="n">
        <v>20000</v>
      </c>
      <c r="E9" s="84">
        <f>C9*D9</f>
        <v/>
      </c>
      <c r="F9" s="84">
        <f>E9*10</f>
        <v/>
      </c>
      <c r="G9" s="94" t="inlineStr">
        <is>
          <t>Middle of the ladder</t>
        </is>
      </c>
    </row>
    <row r="10" ht="15" customHeight="1" s="44">
      <c r="B10" s="93" t="inlineStr">
        <is>
          <t>5-Year Treasury</t>
        </is>
      </c>
      <c r="C10" s="62" t="n">
        <v>0.04</v>
      </c>
      <c r="D10" s="83" t="n">
        <v>20000</v>
      </c>
      <c r="E10" s="84">
        <f>C10*D10</f>
        <v/>
      </c>
      <c r="F10" s="84">
        <f>E10*10</f>
        <v/>
      </c>
      <c r="G10" s="94" t="inlineStr">
        <is>
          <t>Mid-belly, common ladder rung</t>
        </is>
      </c>
    </row>
    <row r="11" ht="15" customHeight="1" s="44">
      <c r="B11" s="93" t="inlineStr">
        <is>
          <t>7-Year Treasury</t>
        </is>
      </c>
      <c r="C11" s="62" t="n">
        <v>0.041</v>
      </c>
      <c r="D11" s="83" t="n">
        <v>20000</v>
      </c>
      <c r="E11" s="84">
        <f>C11*D11</f>
        <v/>
      </c>
      <c r="F11" s="84">
        <f>E11*10</f>
        <v/>
      </c>
      <c r="G11" s="94" t="inlineStr">
        <is>
          <t>Longer-belly, less liquidity</t>
        </is>
      </c>
    </row>
    <row r="12" ht="15" customHeight="1" s="44">
      <c r="B12" s="93" t="inlineStr">
        <is>
          <t>10-Year Treasury</t>
        </is>
      </c>
      <c r="C12" s="62" t="n">
        <v>0.0425</v>
      </c>
      <c r="D12" s="83" t="n">
        <v>20000</v>
      </c>
      <c r="E12" s="84">
        <f>C12*D12</f>
        <v/>
      </c>
      <c r="F12" s="84">
        <f>E12*10</f>
        <v/>
      </c>
      <c r="G12" s="94" t="inlineStr">
        <is>
          <t>Anchor rung, most liquid long-end</t>
        </is>
      </c>
    </row>
    <row r="13" ht="15" customHeight="1" s="44">
      <c r="B13" s="93" t="inlineStr">
        <is>
          <t>20-Year Treasury</t>
        </is>
      </c>
      <c r="C13" s="62" t="n">
        <v>0.045</v>
      </c>
      <c r="D13" s="83" t="n">
        <v>20000</v>
      </c>
      <c r="E13" s="84">
        <f>C13*D13</f>
        <v/>
      </c>
      <c r="F13" s="84">
        <f>E13*10</f>
        <v/>
      </c>
      <c r="G13" s="94" t="inlineStr">
        <is>
          <t>Long duration, higher rate risk</t>
        </is>
      </c>
    </row>
    <row r="14" ht="15" customHeight="1" s="44">
      <c r="B14" s="93" t="inlineStr">
        <is>
          <t>30-Year Treasury</t>
        </is>
      </c>
      <c r="C14" s="62" t="n">
        <v>0.0455</v>
      </c>
      <c r="D14" s="83" t="n">
        <v>20000</v>
      </c>
      <c r="E14" s="84">
        <f>C14*D14</f>
        <v/>
      </c>
      <c r="F14" s="84">
        <f>E14*10</f>
        <v/>
      </c>
      <c r="G14" s="94" t="inlineStr">
        <is>
          <t>Longest maturity, biggest duration</t>
        </is>
      </c>
    </row>
    <row r="15" ht="15" customHeight="1" s="44">
      <c r="B15" s="88" t="inlineStr">
        <is>
          <t>LADDER TOTALS</t>
        </is>
      </c>
      <c r="C15" s="51" t="n"/>
      <c r="D15" s="51" t="n"/>
      <c r="E15" s="51" t="n"/>
      <c r="F15" s="51" t="n"/>
      <c r="G15" s="51" t="n"/>
    </row>
    <row r="16" ht="15" customHeight="1" s="44">
      <c r="B16" s="55" t="inlineStr">
        <is>
          <t>Total ladder value</t>
        </is>
      </c>
      <c r="D16" s="84">
        <f>SUM(D6:D14)</f>
        <v/>
      </c>
    </row>
    <row r="17" ht="15" customHeight="1" s="44">
      <c r="B17" s="55" t="inlineStr">
        <is>
          <t>Total annual coupon income</t>
        </is>
      </c>
      <c r="E17" s="84">
        <f>SUM(E6:E14)</f>
        <v/>
      </c>
    </row>
    <row r="18" ht="15" customHeight="1" s="44">
      <c r="B18" s="55" t="inlineStr">
        <is>
          <t>Weighted-average yield across ladder</t>
        </is>
      </c>
      <c r="C18" s="61">
        <f>SUMPRODUCT(C6:C14,D6:D14)/SUM(D6:D14)</f>
        <v/>
      </c>
    </row>
    <row r="20" ht="31.5" customHeight="1" s="44">
      <c r="B20" s="73" t="inlineStr">
        <is>
          <t>This is an illustration, not a recommendation. Curve figures should be refreshed against current Treasury yields before use. Data source (recommended): U.S. Treasury Daily Yield Curve, treasury.gov/resource-center.</t>
        </is>
      </c>
    </row>
  </sheetData>
  <mergeCells count="3">
    <mergeCell ref="B3:G3"/>
    <mergeCell ref="B2:G2"/>
    <mergeCell ref="B20:G20"/>
  </mergeCells>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landscape" paperSize="1" scale="100" fitToHeight="1" fitToWidth="1" pageOrder="downThenOver" blackAndWhite="0" draft="0" horizontalDpi="300" verticalDpi="300" copies="1"/>
  <headerFooter differentOddEven="0" differentFirst="0">
    <oddHeader>&amp;C&amp;10 BARATELLI INSTITUTE · BOND YIELD WORKBOOK · YIELD CURVE</oddHeader>
    <oddFooter>&amp;C&amp;P of &amp;N</oddFooter>
    <evenHeader/>
    <evenFooter/>
    <firstHeader/>
    <firstFooter/>
  </headerFooter>
</worksheet>
</file>

<file path=xl/worksheets/sheet6.xml><?xml version="1.0" encoding="utf-8"?>
<worksheet xmlns="http://schemas.openxmlformats.org/spreadsheetml/2006/main">
  <sheetPr filterMode="0">
    <outlinePr summaryBelow="1" summaryRight="1"/>
    <pageSetUpPr fitToPage="1"/>
  </sheetPr>
  <dimension ref="A1:C4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43" min="1" max="1"/>
    <col width="32" customWidth="1" style="43" min="2" max="2"/>
    <col width="90" customWidth="1" style="43" min="3" max="3"/>
  </cols>
  <sheetData>
    <row r="1">
      <c r="A1" s="57" t="inlineStr">
        <is>
          <t>← Back to INDEX</t>
        </is>
      </c>
    </row>
    <row r="2" ht="25.5" customHeight="1" s="44">
      <c r="B2" s="58" t="inlineStr">
        <is>
          <t>Bond Math Reference — Formulas in Plain English</t>
        </is>
      </c>
    </row>
    <row r="4" ht="60" customHeight="1" s="44">
      <c r="B4" s="95" t="inlineStr">
        <is>
          <t>Current Yield</t>
        </is>
      </c>
      <c r="C4" s="96" t="inlineStr">
        <is>
          <t>Annual coupon $ ÷ current market price. The simplest yield; ignores the pull-to-par when the bond is bought at a discount or premium.
  ⟶ Computed on Tab 1 (Single Bond, cell F6) and Tab 2 (Portfolio, column J)</t>
        </is>
      </c>
    </row>
    <row r="6" ht="60" customHeight="1" s="44">
      <c r="B6" s="95" t="inlineStr">
        <is>
          <t>Yield to Maturity (YTM)</t>
        </is>
      </c>
      <c r="C6" s="96" t="inlineStr">
        <is>
          <t>The discount rate that makes the present value of all remaining coupons plus the face value at maturity equal to the current market price. Solved by iteration (Newton-Raphson or Excel's RATE).
  ⟶ Computed on Tab 1 (F7), Tab 2 (column I), Tab 4 (yield curve inputs)</t>
        </is>
      </c>
    </row>
    <row r="8" ht="60" customHeight="1" s="44">
      <c r="B8" s="95" t="inlineStr">
        <is>
          <t>Yield to Call (YTC)</t>
        </is>
      </c>
      <c r="C8" s="96" t="inlineStr">
        <is>
          <t>Same solve as YTM but using the call price as the terminal cash flow and years-to-call as the maturity. Applies only to callable bonds.
  ⟶ Computed on Tab 1 (F8, only when Callable=1)</t>
        </is>
      </c>
    </row>
    <row r="10" ht="60" customHeight="1" s="44">
      <c r="B10" s="95" t="inlineStr">
        <is>
          <t>Yield to Worst (YTW)</t>
        </is>
      </c>
      <c r="C10" s="96" t="inlineStr">
        <is>
          <t>The lower of YTM and YTC. This is the yield your broker quotes on a callable bond — the worst-case realized yield assuming rational issuer behavior.
  ⟶ Computed on Tab 1 (F9)</t>
        </is>
      </c>
    </row>
    <row r="12" ht="60" customHeight="1" s="44">
      <c r="B12" s="95" t="inlineStr">
        <is>
          <t>Duration (Macaulay)</t>
        </is>
      </c>
      <c r="C12" s="96" t="inlineStr">
        <is>
          <t>The weighted-average time until you receive all the bond's cash flows, weighted by the present value of each cash flow. Measured in years. Not calculated here; see the Bond Duration &amp; Convexity calculator on the site.
  ⟶ Computed on Tab 2 (Portfolio, column N) as of Round 1 fixes. Use with Modified Duration for hedging.</t>
        </is>
      </c>
    </row>
    <row r="14" ht="60" customHeight="1" s="44">
      <c r="B14" s="95" t="inlineStr">
        <is>
          <t>Modified Duration</t>
        </is>
      </c>
      <c r="C14" s="96" t="inlineStr">
        <is>
          <t>Duration adjusted for the periodic yield. The approximate percent price change for a 1% change in yield. Used for hedging.
  ⟶ Computed on Tab 2 (Portfolio, column O). See also the standalone Bond Duration &amp; Convexity calculator at baratelliinstitute.com.</t>
        </is>
      </c>
    </row>
    <row r="16" ht="60" customHeight="1" s="44">
      <c r="B16" s="95" t="inlineStr">
        <is>
          <t>Tax-Equivalent Yield (TEY)</t>
        </is>
      </c>
      <c r="C16" s="96" t="inlineStr">
        <is>
          <t>Muni yield ÷ (1 − effective tax rate). The yield a taxable bond would need to match the muni's after-tax return.
  ⟶ Computed on Tab 3 (Muni vs Taxable, cell F7)</t>
        </is>
      </c>
    </row>
    <row r="18" ht="60" customHeight="1" s="44">
      <c r="B18" s="95" t="inlineStr">
        <is>
          <t>Break-even Tax Rate</t>
        </is>
      </c>
      <c r="C18" s="96" t="inlineStr">
        <is>
          <t>1 − (Muni yield ÷ Taxable yield). The federal marginal rate above which the muni is preferred; below which the taxable wins.
  ⟶ Computed on Tab 3 (cell C16)</t>
        </is>
      </c>
    </row>
    <row r="20" ht="60" customHeight="1" s="44">
      <c r="B20" s="95" t="inlineStr">
        <is>
          <t>Effective Tax Rate on Coupon</t>
        </is>
      </c>
      <c r="C20" s="96" t="inlineStr">
        <is>
          <t>For US Treasuries: federal only (state-exempt under 31 USC 3124). For fully taxable bonds: federal + state. For in-state municipal bonds: 0 (federal + state exempt). For out-of-state municipal bonds: state only (federal exempt).
  ⟶ Computed on Tab 1 (cell F11) and applied per-bond in Tab 2 (After-tax YTM column M via IF-chain on Type field H)</t>
        </is>
      </c>
    </row>
    <row r="22" ht="60" customHeight="1" s="44">
      <c r="B22" s="95" t="inlineStr">
        <is>
          <t>Original Issue Discount (OID)</t>
        </is>
      </c>
      <c r="C22" s="96" t="inlineStr">
        <is>
          <t>For bonds issued below face value with the discount treated as interest accrual over the bond's life. Complex tax treatment; not modeled in this workbook.
  ⟶ See Appendix on this tab; not modeled elsewhere in workbook</t>
        </is>
      </c>
    </row>
    <row r="24" ht="60" customHeight="1" s="44">
      <c r="B24" s="95" t="inlineStr">
        <is>
          <t>De Minimis Rule (Muni)</t>
        </is>
      </c>
      <c r="C24" s="96" t="inlineStr">
        <is>
          <t>If a muni is bought at more than a small ("de minimis") discount from par, gain at maturity is taxed as ordinary income rather than capital gain. Not modeled here; consult a tax specialist.
  ⟶ See Appendix on this tab; not modeled elsewhere in workbook</t>
        </is>
      </c>
    </row>
    <row r="26" ht="60" customHeight="1" s="44">
      <c r="B26" s="95" t="inlineStr">
        <is>
          <t>Accrued Interest</t>
        </is>
      </c>
      <c r="C26" s="96" t="inlineStr">
        <is>
          <t>Interest earned since the last coupon date. Added to the settlement price; the quoted "clean price" excludes it. Not modeled in this workbook.
  ⟶ New in v1.2 — input cell on Tab 1 (C17) and column P on Tab 2. NOTE: currently informational only; RATE-input price is clean price.</t>
        </is>
      </c>
    </row>
    <row r="28"/>
    <row r="30">
      <c r="B30" s="74" t="inlineStr">
        <is>
          <t>APPENDIX — TAX TREATMENT DETAILS</t>
        </is>
      </c>
    </row>
    <row r="32" ht="84" customHeight="1" s="44">
      <c r="B32" s="97" t="inlineStr">
        <is>
          <t>De Minimis Rule (Muni Discount)</t>
        </is>
      </c>
      <c r="C32" s="98" t="inlineStr">
        <is>
          <t>The de minimis threshold is 0.25% × full years to maturity, applied to par. Purchased below par by LESS than this threshold: pull-to-par at maturity is CAPITAL GAIN. Purchased below par by MORE than this threshold: pull-to-par is ORDINARY INCOME. 
Worked example: 10-year muni, $10,000 face. De minimis threshold = 0.25% × 10 × $10,000 = $250. Bought at $9,800 (discount $200): discount is BELOW $250 threshold → gain of $200 at maturity is capital gain. Bought at $9,700 (discount $300): discount ABOVE threshold → gain of $300 at maturity is ordinary income.</t>
        </is>
      </c>
    </row>
    <row r="34" ht="84" customHeight="1" s="44">
      <c r="B34" s="97" t="inlineStr">
        <is>
          <t>Original Issue Discount (OID)</t>
        </is>
      </c>
      <c r="C34" s="98" t="inlineStr">
        <is>
          <t>For a bond issued below par with more than a de minimis OID, the bondholder must ACCRUE the OID as taxable interest each year (constant-yield method under §1272), regardless of whether cash is received. This is why zero-coupon bonds generate an annual tax liability even though no coupon is paid. 
Secondary-market discount is different from OID: a bond bought below par in the secondary market accrues MARKET DISCOUNT (not OID), which is taxable as ordinary income at disposition unless the §1278(b) election is made.</t>
        </is>
      </c>
    </row>
    <row r="36" ht="84" customHeight="1" s="44">
      <c r="B36" s="97" t="inlineStr">
        <is>
          <t>Alternative Minimum Tax (AMT)</t>
        </is>
      </c>
      <c r="C36" s="98" t="inlineStr">
        <is>
          <t>Municipal bonds issued to finance PRIVATE ACTIVITIES (private-activity bonds, or PABs) are federal-exempt for regular tax but ARE taxable for AMT purposes. A high-income holder in AMT territory should not treat a PAB muni the same as a general-obligation muni. Check the bond's offering statement for its PAB status. 
General-obligation (GO) municipal bonds and revenue bonds for governmental use are typically NOT PABs and are AMT-exempt.</t>
        </is>
      </c>
    </row>
    <row r="38" ht="84" customHeight="1" s="44">
      <c r="B38" s="97" t="inlineStr">
        <is>
          <t>31 USC 3124 — Treasury State Exemption</t>
        </is>
      </c>
      <c r="C38" s="98" t="inlineStr">
        <is>
          <t>The Public Salary Tax Act of 1939 (codified at 31 USC §3124) provides that interest on U.S. government obligations is exempt from state and local income tax. All 50 states honor this. This is why Treasury interest is federal-taxable but state-exempt in this workbook's Type=2 code.</t>
        </is>
      </c>
    </row>
    <row r="40" ht="84" customHeight="1" s="44">
      <c r="B40" s="97" t="inlineStr">
        <is>
          <t>Portfolio-Level After-Tax Yield</t>
        </is>
      </c>
      <c r="C40" s="98" t="inlineStr">
        <is>
          <t>This workbook applies the effective coupon tax rate at each bond, then weights by market value on the Portfolio tab. For a mixed portfolio, this is directionally correct but does NOT model: (a) net-of-tax capital gains at maturity (for discount bonds), (b) reinvestment risk on tax-exempt coupons versus taxable coupons over the holding period, or (c) state-of-domicile changes over the holding period. Client-specific tax modeling requires a real tax advisor.</t>
        </is>
      </c>
    </row>
  </sheetData>
  <mergeCells count="2">
    <mergeCell ref="B30:C30"/>
    <mergeCell ref="B2:C2"/>
  </mergeCells>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portrait" paperSize="1" scale="100" fitToHeight="0" fitToWidth="1" pageOrder="downThenOver" blackAndWhite="0" draft="0" horizontalDpi="300" verticalDpi="300" copies="1"/>
  <headerFooter differentOddEven="0" differentFirst="0">
    <oddHeader>&amp;C&amp;10 BARATELLI INSTITUTE · BOND YIELD WORKBOOK · REFERENCE</oddHeader>
    <oddFooter>&amp;C&amp;P of &amp;N</oddFooter>
    <evenHeader/>
    <evenFooter/>
    <firstHeader/>
    <firstFooter/>
  </headerFooter>
</worksheet>
</file>

<file path=xl/worksheets/sheet7.xml><?xml version="1.0" encoding="utf-8"?>
<worksheet xmlns="http://schemas.openxmlformats.org/spreadsheetml/2006/main">
  <sheetPr filterMode="0">
    <outlinePr summaryBelow="1" summaryRight="1"/>
    <pageSetUpPr fitToPage="1"/>
  </sheetPr>
  <dimension ref="A1:B2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43" min="1" max="1"/>
    <col width="108" customWidth="1" style="43" min="2" max="2"/>
  </cols>
  <sheetData>
    <row r="1">
      <c r="A1" s="57" t="inlineStr">
        <is>
          <t>← Back to INDEX</t>
        </is>
      </c>
    </row>
    <row r="2" ht="25.5" customHeight="1" s="44">
      <c r="B2" s="58" t="inlineStr">
        <is>
          <t>Assumptions, Limitations, and Disclosure</t>
        </is>
      </c>
    </row>
    <row r="4" ht="15" customHeight="1" s="44">
      <c r="B4" s="52" t="inlineStr">
        <is>
          <t>WHAT THIS WORKBOOK DOES</t>
        </is>
      </c>
    </row>
    <row r="6" ht="60" customHeight="1" s="44">
      <c r="B6" s="96" t="inlineStr">
        <is>
          <t>Solves YTM, YTC, YTW, current yield, tax-equivalent yield, and effective ladder economics on user-input bonds. Applies simplified after-tax treatment to coupons. Provides a break-even-tax-rate calculation for muni vs taxable comparison.</t>
        </is>
      </c>
    </row>
    <row r="8" ht="15" customHeight="1" s="44">
      <c r="B8" s="52" t="inlineStr">
        <is>
          <t>WHAT IT DOES NOT DO</t>
        </is>
      </c>
    </row>
    <row r="10" ht="60" customHeight="1" s="44">
      <c r="B10" s="96" t="inlineStr">
        <is>
          <t>Does not model accrued interest, settlement date conventions (T+1 for Treasuries, T+2 for corporates and munis), or bid-ask spread. Does not model Original Issue Discount (OID) accrual or the de minimis municipal-bond rule. Does not calculate duration, modified duration, convexity, or key-rate durations (see the Bond Duration &amp; Convexity calculator on the site). Does not incorporate credit risk beyond what is embedded in market prices. Does not model Alternative Minimum Tax (AMT) exposure on private-activity municipal bonds. Does not adjust for state-specific rules on Treasury interest treatment. Does not model reinvestment risk on coupons received.</t>
        </is>
      </c>
    </row>
    <row r="12" ht="15" customHeight="1" s="44">
      <c r="B12" s="52" t="inlineStr">
        <is>
          <t>TAX CONVENTIONS</t>
        </is>
      </c>
    </row>
    <row r="14" ht="60" customHeight="1" s="44">
      <c r="B14" s="96" t="inlineStr">
        <is>
          <t>Treasury interest is federal-taxable, state-exempt under the Public Salary Tax Act of 1939, codified at 31 USC 3124. In-state municipal bonds are typically both federal and state exempt. Out-of-state municipal bonds are federal-exempt but state-taxable in most jurisdictions (with limited exceptions, e.g., some states exempt municipals from other US states or territories). Consult a tax specialist for state-specific treatment.</t>
        </is>
      </c>
    </row>
    <row r="16" ht="15" customHeight="1" s="44">
      <c r="B16" s="52" t="inlineStr">
        <is>
          <t>SOURCES OF INPUT DATA</t>
        </is>
      </c>
    </row>
    <row r="18" ht="60" customHeight="1" s="44">
      <c r="B18" s="96" t="inlineStr">
        <is>
          <t>Recommended sources: U.S. Treasury Daily Yield Curve (treasury.gov); TRACE (Bond Trade Reporting and Compliance Engine, FINRA); MSRB EMMA (emma.msrb.org) for muni pricing; Bloomberg or FactSet for corporate bonds; broker quotes for actual trade execution.</t>
        </is>
      </c>
    </row>
    <row r="20" ht="15" customHeight="1" s="44">
      <c r="B20" s="52" t="inlineStr">
        <is>
          <t>DISCLAIMER</t>
        </is>
      </c>
    </row>
    <row r="22" ht="60" customHeight="1" s="44">
      <c r="B22" s="96" t="inlineStr">
        <is>
          <t>This workbook is an educational tool and is not investment, tax, or legal advice. Bond pricing in the real market includes accrued interest, bid-ask spread, settlement conventions, and credit risk that this workbook's simplified framework does not capture. Consult a fixed-income specialist or your broker for trade-level analysis. The Baratelli Institute does not sell bonds or earn commissions on referrals.</t>
        </is>
      </c>
    </row>
  </sheetData>
  <hyperlinks>
    <hyperlink xmlns:r="http://schemas.openxmlformats.org/officeDocument/2006/relationships" ref="A1" r:id="rId1"/>
  </hyperlinks>
  <printOptions horizontalCentered="0" verticalCentered="0" headings="0" gridLines="0" gridLinesSet="1"/>
  <pageMargins left="0.75" right="0.75" top="1" bottom="1" header="0.5" footer="0.5"/>
  <pageSetup orientation="portrait" paperSize="1" scale="100" fitToHeight="0" fitToWidth="1" pageOrder="downThenOver" blackAndWhite="0" draft="0" horizontalDpi="300" verticalDpi="300" copies="1"/>
  <headerFooter differentOddEven="0" differentFirst="0">
    <oddHeader>&amp;C&amp;10 BARATELLI INSTITUTE · BOND YIELD WORKBOOK · DISCLOSURES</oddHeader>
    <oddFooter>&amp;C&amp;P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2026-07-13T02:24:20Z</dcterms:created>
  <dcterms:modified xmlns:dcterms="http://purl.org/dc/terms/" xmlns:xsi="http://www.w3.org/2001/XMLSchema-instance" xsi:type="dcterms:W3CDTF">2026-07-13T08:52:11Z</dcterms:modified>
  <cp:revision>0</cp:revision>
</cp:coreProperties>
</file>