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" sheetId="1" state="visible" r:id="rId1"/>
    <sheet xmlns:r="http://schemas.openxmlformats.org/officeDocument/2006/relationships" name="1. Single Bond" sheetId="2" state="visible" r:id="rId2"/>
    <sheet xmlns:r="http://schemas.openxmlformats.org/officeDocument/2006/relationships" name="2. Portfolio" sheetId="3" state="visible" r:id="rId3"/>
    <sheet xmlns:r="http://schemas.openxmlformats.org/officeDocument/2006/relationships" name="3. Sensitivity" sheetId="4" state="visible" r:id="rId4"/>
    <sheet xmlns:r="http://schemas.openxmlformats.org/officeDocument/2006/relationships" name="4. Reference" sheetId="5" state="visible" r:id="rId5"/>
    <sheet xmlns:r="http://schemas.openxmlformats.org/officeDocument/2006/relationships" name="5. Disclosures" sheetId="6" state="visible" r:id="rId6"/>
  </sheets>
  <definedNames/>
  <calcPr calcId="124519" calcMode="auto" fullCalcOnLoad="1" iterate="1" iterateCount="200" iterateDelta="0.0001"/>
</workbook>
</file>

<file path=xl/styles.xml><?xml version="1.0" encoding="utf-8"?>
<styleSheet xmlns="http://schemas.openxmlformats.org/spreadsheetml/2006/main">
  <numFmts count="10">
    <numFmt numFmtId="164" formatCode="0.000%"/>
    <numFmt numFmtId="165" formatCode="0.000"/>
    <numFmt numFmtId="166" formatCode="$#,##0.00"/>
    <numFmt numFmtId="167" formatCode="+#,##0;-#,##0;0"/>
    <numFmt numFmtId="168" formatCode="0.0000"/>
    <numFmt numFmtId="169" formatCode="+0.00%;-0.00%;0.00%"/>
    <numFmt numFmtId="170" formatCode="+0.0;-0.0;0.0"/>
    <numFmt numFmtId="171" formatCode="$#,##0"/>
    <numFmt numFmtId="172" formatCode="0.00&quot; years&quot;"/>
    <numFmt numFmtId="173" formatCode="$#,##0;[Red]-$#,##0"/>
  </numFmts>
  <fonts count="19">
    <font>
      <name val="Calibri"/>
      <family val="2"/>
      <color theme="1"/>
      <sz val="11"/>
      <scheme val="minor"/>
    </font>
    <font>
      <name val="Calibri"/>
      <b val="1"/>
      <color rgb="000D2747"/>
      <sz val="22"/>
    </font>
    <font>
      <name val="Calibri"/>
      <i val="1"/>
      <color rgb="00C89000"/>
      <sz val="11"/>
    </font>
    <font>
      <name val="Calibri"/>
      <color rgb="00595959"/>
      <sz val="10"/>
    </font>
    <font>
      <name val="Calibri"/>
      <b val="1"/>
      <color rgb="00C00000"/>
      <sz val="10"/>
    </font>
    <font>
      <name val="Calibri"/>
      <b val="1"/>
      <color rgb="FFFFFFFF"/>
      <sz val="12"/>
    </font>
    <font>
      <name val="Calibri"/>
      <b val="1"/>
      <color rgb="000D2747"/>
      <sz val="11"/>
    </font>
    <font>
      <name val="Calibri"/>
      <color rgb="FF000000"/>
      <sz val="11"/>
    </font>
    <font>
      <name val="Calibri"/>
      <i val="1"/>
      <color rgb="00595959"/>
      <sz val="9"/>
    </font>
    <font>
      <name val="Calibri"/>
      <color rgb="000068FF"/>
      <sz val="10"/>
      <u val="single"/>
    </font>
    <font>
      <name val="Calibri"/>
      <b val="1"/>
      <color rgb="FFFFFFFF"/>
      <sz val="16"/>
    </font>
    <font>
      <name val="Calibri"/>
      <b val="1"/>
      <color rgb="FFFFFFFF"/>
      <sz val="11"/>
    </font>
    <font>
      <name val="Calibri"/>
      <color rgb="000068FF"/>
      <sz val="11"/>
    </font>
    <font>
      <name val="Calibri"/>
      <b val="1"/>
      <color rgb="FF000000"/>
      <sz val="11"/>
    </font>
    <font>
      <name val="Calibri"/>
      <i val="1"/>
      <color rgb="00000080"/>
      <sz val="9"/>
    </font>
    <font>
      <name val="Calibri"/>
      <color rgb="000068FF"/>
      <sz val="10"/>
    </font>
    <font>
      <name val="Calibri"/>
      <b val="1"/>
      <color rgb="00FFFFFF"/>
      <sz val="11"/>
    </font>
    <font>
      <name val="Calibri"/>
      <color rgb="00000000"/>
      <sz val="10.5"/>
    </font>
    <font>
      <name val="Calibri"/>
      <i val="1"/>
      <color rgb="006B6B6B"/>
      <sz val="9.5"/>
    </font>
  </fonts>
  <fills count="9">
    <fill>
      <patternFill/>
    </fill>
    <fill>
      <patternFill patternType="gray125"/>
    </fill>
    <fill>
      <patternFill patternType="solid">
        <fgColor rgb="00FDECEA"/>
      </patternFill>
    </fill>
    <fill>
      <patternFill patternType="solid">
        <fgColor rgb="000D2747"/>
      </patternFill>
    </fill>
    <fill>
      <patternFill patternType="solid">
        <fgColor rgb="00E8F1FF"/>
      </patternFill>
    </fill>
    <fill>
      <patternFill patternType="solid">
        <fgColor rgb="00FFE8B0"/>
      </patternFill>
    </fill>
    <fill>
      <patternFill patternType="solid">
        <fgColor rgb="000D2747"/>
        <bgColor rgb="000D2747"/>
      </patternFill>
    </fill>
    <fill>
      <patternFill patternType="solid">
        <fgColor rgb="00FFE8B0"/>
        <bgColor rgb="00FFE8B0"/>
      </patternFill>
    </fill>
    <fill>
      <patternFill patternType="solid">
        <fgColor rgb="00FFF8E7"/>
        <bgColor rgb="00FFF8E7"/>
      </patternFill>
    </fill>
  </fills>
  <borders count="7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  <border>
      <left/>
      <right/>
      <top style="thin">
        <color rgb="00BFBFBF"/>
      </top>
      <bottom style="thin">
        <color rgb="00BFBFBF"/>
      </bottom>
      <diagonal/>
    </border>
    <border>
      <left style="thin">
        <color rgb="00DDD8CE"/>
      </left>
      <right style="thin">
        <color rgb="00DDD8CE"/>
      </right>
      <top style="thin">
        <color rgb="00DDD8CE"/>
      </top>
      <bottom style="thin">
        <color rgb="00DDD8CE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 indent="1"/>
    </xf>
    <xf numFmtId="0" fontId="0" fillId="2" borderId="1" pivotButton="0" quotePrefix="0" xfId="0"/>
    <xf numFmtId="0" fontId="5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6" fillId="0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wrapText="1" indent="1"/>
    </xf>
    <xf numFmtId="0" fontId="5" fillId="3" borderId="0" pivotButton="0" quotePrefix="0" xfId="0"/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 indent="1"/>
    </xf>
    <xf numFmtId="0" fontId="8" fillId="0" borderId="0" pivotButton="0" quotePrefix="0" xfId="0"/>
    <xf numFmtId="0" fontId="9" fillId="0" borderId="0" pivotButton="0" quotePrefix="0" xfId="0"/>
    <xf numFmtId="0" fontId="10" fillId="3" borderId="0" applyAlignment="1" pivotButton="0" quotePrefix="0" xfId="0">
      <alignment horizontal="left" vertical="center" indent="1"/>
    </xf>
    <xf numFmtId="0" fontId="11" fillId="3" borderId="0" applyAlignment="1" pivotButton="0" quotePrefix="0" xfId="0">
      <alignment horizontal="left" vertical="center" indent="1"/>
    </xf>
    <xf numFmtId="4" fontId="12" fillId="4" borderId="1" applyAlignment="1" pivotButton="0" quotePrefix="0" xfId="0">
      <alignment horizontal="right" vertical="center"/>
    </xf>
    <xf numFmtId="164" fontId="13" fillId="5" borderId="1" applyAlignment="1" pivotButton="0" quotePrefix="0" xfId="0">
      <alignment horizontal="right" vertical="center"/>
    </xf>
    <xf numFmtId="164" fontId="12" fillId="4" borderId="1" applyAlignment="1" pivotButton="0" quotePrefix="0" xfId="0">
      <alignment horizontal="right" vertical="center"/>
    </xf>
    <xf numFmtId="165" fontId="13" fillId="5" borderId="1" applyAlignment="1" pivotButton="0" quotePrefix="0" xfId="0">
      <alignment horizontal="right" vertical="center"/>
    </xf>
    <xf numFmtId="2" fontId="12" fillId="4" borderId="1" applyAlignment="1" pivotButton="0" quotePrefix="0" xfId="0">
      <alignment horizontal="right" vertical="center"/>
    </xf>
    <xf numFmtId="166" fontId="13" fillId="5" borderId="1" applyAlignment="1" pivotButton="0" quotePrefix="0" xfId="0">
      <alignment horizontal="right" vertical="center"/>
    </xf>
    <xf numFmtId="1" fontId="12" fillId="4" borderId="1" applyAlignment="1" pivotButton="0" quotePrefix="0" xfId="0">
      <alignment horizontal="right" vertical="center"/>
    </xf>
    <xf numFmtId="10" fontId="13" fillId="5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 indent="1"/>
    </xf>
    <xf numFmtId="0" fontId="11" fillId="3" borderId="0" pivotButton="0" quotePrefix="0" xfId="0"/>
    <xf numFmtId="0" fontId="14" fillId="0" borderId="0" applyAlignment="1" pivotButton="0" quotePrefix="0" xfId="0">
      <alignment horizontal="left" vertical="center" wrapText="1" indent="1"/>
    </xf>
    <xf numFmtId="0" fontId="4" fillId="2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left" vertical="center" indent="1"/>
    </xf>
    <xf numFmtId="3" fontId="12" fillId="4" borderId="1" applyAlignment="1" pivotButton="0" quotePrefix="0" xfId="0">
      <alignment horizontal="right" vertical="center"/>
    </xf>
    <xf numFmtId="2" fontId="13" fillId="5" borderId="1" applyAlignment="1" pivotButton="0" quotePrefix="0" xfId="0">
      <alignment horizontal="right" vertical="center"/>
    </xf>
    <xf numFmtId="3" fontId="13" fillId="5" borderId="1" pivotButton="0" quotePrefix="0" xfId="0"/>
    <xf numFmtId="2" fontId="13" fillId="5" borderId="1" pivotButton="0" quotePrefix="0" xfId="0"/>
    <xf numFmtId="166" fontId="13" fillId="5" borderId="1" pivotButton="0" quotePrefix="0" xfId="0"/>
    <xf numFmtId="167" fontId="12" fillId="4" borderId="1" applyAlignment="1" pivotButton="0" quotePrefix="0" xfId="0">
      <alignment horizontal="center" vertical="center"/>
    </xf>
    <xf numFmtId="168" fontId="13" fillId="5" borderId="1" applyAlignment="1" pivotButton="0" quotePrefix="0" xfId="0">
      <alignment horizontal="right" vertical="center"/>
    </xf>
    <xf numFmtId="169" fontId="13" fillId="5" borderId="1" applyAlignment="1" pivotButton="0" quotePrefix="0" xfId="0">
      <alignment horizontal="right" vertical="center"/>
    </xf>
    <xf numFmtId="170" fontId="13" fillId="5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left" vertical="center" wrapText="1" indent="1"/>
    </xf>
    <xf numFmtId="0" fontId="6" fillId="0" borderId="0" applyAlignment="1" pivotButton="0" quotePrefix="0" xfId="0">
      <alignment horizontal="left" vertical="top" indent="1"/>
    </xf>
    <xf numFmtId="0" fontId="7" fillId="0" borderId="0" applyAlignment="1" pivotButton="0" quotePrefix="0" xfId="0">
      <alignment horizontal="left" vertical="top" wrapText="1" indent="1"/>
    </xf>
    <xf numFmtId="0" fontId="0" fillId="0" borderId="4" pivotButton="0" quotePrefix="0" xfId="0"/>
    <xf numFmtId="0" fontId="0" fillId="0" borderId="5" pivotButton="0" quotePrefix="0" xfId="0"/>
    <xf numFmtId="0" fontId="16" fillId="6" borderId="6" applyAlignment="1" pivotButton="0" quotePrefix="0" xfId="0">
      <alignment horizontal="left" vertical="center" indent="1"/>
    </xf>
    <xf numFmtId="0" fontId="0" fillId="0" borderId="6" pivotButton="0" quotePrefix="0" xfId="0"/>
    <xf numFmtId="0" fontId="17" fillId="0" borderId="0" pivotButton="0" quotePrefix="0" xfId="0"/>
    <xf numFmtId="171" fontId="6" fillId="7" borderId="0" applyAlignment="1" pivotButton="0" quotePrefix="0" xfId="0">
      <alignment horizontal="right"/>
    </xf>
    <xf numFmtId="172" fontId="6" fillId="7" borderId="0" applyAlignment="1" pivotButton="0" quotePrefix="0" xfId="0">
      <alignment horizontal="right"/>
    </xf>
    <xf numFmtId="173" fontId="6" fillId="7" borderId="0" applyAlignment="1" pivotButton="0" quotePrefix="0" xfId="0">
      <alignment horizontal="right"/>
    </xf>
    <xf numFmtId="0" fontId="18" fillId="8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#INDEX!A1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#INDEX!A1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#INDEX!A1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#INDEX!A1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#INDEX!A1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2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60" customWidth="1" min="3" max="3"/>
  </cols>
  <sheetData>
    <row r="2">
      <c r="B2" s="1" t="inlineStr">
        <is>
          <t>Bond Duration &amp; Convexity Workbook</t>
        </is>
      </c>
    </row>
    <row r="3">
      <c r="B3" s="2" t="inlineStr">
        <is>
          <t>The Baratelli Institute · Risk-side companion to the Bond Yield Workbook</t>
        </is>
      </c>
    </row>
    <row r="4">
      <c r="B4" s="3" t="inlineStr">
        <is>
          <t>baratelliinstitute.com/tool-bond-duration-convexity.html</t>
        </is>
      </c>
    </row>
    <row r="5" ht="40" customHeight="1">
      <c r="B5" s="4" t="inlineStr">
        <is>
          <t>★  EDUCATIONAL WORKBOOK — NOT INVESTMENT, TAX, OR LEGAL ADVICE. Full disclosures on Tab 6. Consult a fixed-income specialist for trade-level decisions.</t>
        </is>
      </c>
      <c r="C5" s="43" t="n"/>
    </row>
    <row r="7">
      <c r="B7" s="6" t="inlineStr">
        <is>
          <t>TABS</t>
        </is>
      </c>
      <c r="C7" s="7" t="n"/>
    </row>
    <row r="8">
      <c r="B8" s="8" t="inlineStr">
        <is>
          <t>1. Single Bond</t>
        </is>
      </c>
      <c r="C8" s="9" t="inlineStr">
        <is>
          <t>Macaulay + Modified Duration + Convexity + DV01 on one bond.</t>
        </is>
      </c>
    </row>
    <row r="9">
      <c r="B9" s="8" t="inlineStr">
        <is>
          <t>2. Portfolio</t>
        </is>
      </c>
      <c r="C9" s="9" t="inlineStr">
        <is>
          <t>Ten bonds side-by-side. Weighted-avg duration and convexity across the book.</t>
        </is>
      </c>
    </row>
    <row r="10">
      <c r="B10" s="8" t="inlineStr">
        <is>
          <t>3. Sensitivity</t>
        </is>
      </c>
      <c r="C10" s="9" t="inlineStr">
        <is>
          <t>Price change for a range of yield shifts (−300 to +300 bp) with duration-only vs. duration-plus-convexity comparison.</t>
        </is>
      </c>
    </row>
    <row r="11">
      <c r="B11" s="8" t="inlineStr">
        <is>
          <t>4. Reference</t>
        </is>
      </c>
      <c r="C11" s="9" t="inlineStr">
        <is>
          <t>Formulas in plain English. Duration, convexity, DV01, key-rate duration, effective duration.</t>
        </is>
      </c>
    </row>
    <row r="12">
      <c r="B12" s="8" t="inlineStr">
        <is>
          <t>5. Disclosures</t>
        </is>
      </c>
      <c r="C12" s="9" t="inlineStr">
        <is>
          <t>Assumptions, limitations, what this workbook does not do.</t>
        </is>
      </c>
    </row>
    <row r="14">
      <c r="B14" s="10" t="inlineStr">
        <is>
          <t>HOW TO USE</t>
        </is>
      </c>
      <c r="C14" s="7" t="n"/>
    </row>
    <row r="15">
      <c r="B15" s="11" t="inlineStr">
        <is>
          <t>•</t>
        </is>
      </c>
      <c r="C15" s="12" t="inlineStr">
        <is>
          <t>Blue cells are inputs — you edit these.</t>
        </is>
      </c>
    </row>
    <row r="16">
      <c r="B16" s="11" t="inlineStr">
        <is>
          <t>•</t>
        </is>
      </c>
      <c r="C16" s="12" t="inlineStr">
        <is>
          <t>Gold cells are outputs — Excel calculates these; do not overwrite.</t>
        </is>
      </c>
    </row>
    <row r="17">
      <c r="B17" s="11" t="inlineStr">
        <is>
          <t>•</t>
        </is>
      </c>
      <c r="C17" s="12" t="inlineStr">
        <is>
          <t>Iterative calc is enabled (200 iterations, 0.0001 tolerance) so YTM converges cleanly.</t>
        </is>
      </c>
    </row>
    <row r="18">
      <c r="B18" s="11" t="inlineStr">
        <is>
          <t>•</t>
        </is>
      </c>
      <c r="C18" s="12" t="inlineStr">
        <is>
          <t>Duration is the linear risk approximation; convexity is the second-order correction.</t>
        </is>
      </c>
    </row>
    <row r="19">
      <c r="B19" s="11" t="inlineStr">
        <is>
          <t>•</t>
        </is>
      </c>
      <c r="C19" s="12" t="inlineStr">
        <is>
          <t>For yield-side math (YTM, YTC, YTW, TEY), use the free Bond Yield Workbook.</t>
        </is>
      </c>
    </row>
    <row r="22">
      <c r="B22" s="13" t="inlineStr">
        <is>
          <t>Version 1.1 · 13 July 2026 · Committee items P3, P4, P5 applied</t>
        </is>
      </c>
    </row>
  </sheetData>
  <mergeCells count="1">
    <mergeCell ref="B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8" customWidth="1" min="3" max="3"/>
    <col width="4" customWidth="1" min="4" max="4"/>
    <col width="34" customWidth="1" min="5" max="5"/>
    <col width="18" customWidth="1" min="6" max="6"/>
  </cols>
  <sheetData>
    <row r="1">
      <c r="A1" s="14" t="inlineStr">
        <is>
          <t>← Back to INDEX</t>
        </is>
      </c>
    </row>
    <row r="2" ht="26" customHeight="1">
      <c r="B2" s="15" t="inlineStr">
        <is>
          <t>Single Bond — Duration, Convexity, and DV01</t>
        </is>
      </c>
    </row>
    <row r="3">
      <c r="B3" s="13" t="inlineStr">
        <is>
          <t>Enter the bond in blue cells. Duration, convexity, and DV01 calculate to the right.</t>
        </is>
      </c>
    </row>
    <row r="5">
      <c r="B5" s="16" t="inlineStr">
        <is>
          <t>INPUTS</t>
        </is>
      </c>
      <c r="C5" s="7" t="n"/>
      <c r="E5" s="16" t="inlineStr">
        <is>
          <t>RESULTS</t>
        </is>
      </c>
      <c r="F5" s="7" t="n"/>
    </row>
    <row r="6">
      <c r="B6" s="12" t="inlineStr">
        <is>
          <t>Face value ($)</t>
        </is>
      </c>
      <c r="C6" s="17" t="n">
        <v>1000</v>
      </c>
      <c r="E6" s="12" t="inlineStr">
        <is>
          <t>Effective YTM</t>
        </is>
      </c>
      <c r="F6" s="18">
        <f>IF(C11&gt;0, C11, RATE(C9*C10, C6*C7/C10, -C8, C6)*C10)</f>
        <v/>
      </c>
    </row>
    <row r="7">
      <c r="B7" s="12" t="inlineStr">
        <is>
          <t>Coupon rate (annual %)</t>
        </is>
      </c>
      <c r="C7" s="19" t="n">
        <v>0.0425</v>
      </c>
      <c r="E7" s="12" t="inlineStr">
        <is>
          <t>Macaulay Duration (years)</t>
        </is>
      </c>
      <c r="F7" s="20">
        <f>DURATION(TODAY(), TODAY()+C9*365.25, C7, F6, C10)</f>
        <v/>
      </c>
    </row>
    <row r="8">
      <c r="B8" s="12" t="inlineStr">
        <is>
          <t>Market price ($)</t>
        </is>
      </c>
      <c r="C8" s="17" t="n">
        <v>965</v>
      </c>
      <c r="E8" s="12" t="inlineStr">
        <is>
          <t>Modified Duration (years)</t>
        </is>
      </c>
      <c r="F8" s="20">
        <f>MDURATION(TODAY(), TODAY()+C9*365.25, C7, F6, C10)</f>
        <v/>
      </c>
    </row>
    <row r="9">
      <c r="B9" s="12" t="inlineStr">
        <is>
          <t>Years to maturity</t>
        </is>
      </c>
      <c r="C9" s="21" t="n">
        <v>10</v>
      </c>
      <c r="E9" s="12" t="inlineStr">
        <is>
          <t>DV01 (dollar value of 1 bp)</t>
        </is>
      </c>
      <c r="F9" s="22">
        <f>F8*C8*0.0001</f>
        <v/>
      </c>
    </row>
    <row r="10">
      <c r="B10" s="12" t="inlineStr">
        <is>
          <t>Payments per year</t>
        </is>
      </c>
      <c r="C10" s="23" t="n">
        <v>2</v>
      </c>
      <c r="E10" s="12" t="inlineStr">
        <is>
          <t>Convexity (finite-diff, ±25bp)</t>
        </is>
      </c>
      <c r="F10" s="20">
        <f>((PRICE(TODAY(),TODAY()+C9*365.25,C7,F6-0.0025,100,C10)*C6/100 + PRICE(TODAY(),TODAY()+C9*365.25,C7,F6+0.0025,100,C10)*C6/100 - 2*C8) / (C8 * 0.0025^2))</f>
        <v/>
      </c>
    </row>
    <row r="11">
      <c r="B11" s="12" t="inlineStr">
        <is>
          <t>Yield to maturity (%)  [leave 0 to solve from price]</t>
        </is>
      </c>
      <c r="C11" s="19" t="n">
        <v>0</v>
      </c>
    </row>
    <row r="13">
      <c r="B13" s="16" t="inlineStr">
        <is>
          <t>PRICE CHANGE ESTIMATES (±100 bp)</t>
        </is>
      </c>
      <c r="C13" s="7" t="n"/>
      <c r="D13" s="7" t="n"/>
      <c r="E13" s="7" t="n"/>
      <c r="F13" s="7" t="n"/>
    </row>
    <row r="14">
      <c r="B14" s="12" t="inlineStr">
        <is>
          <t>If yields rise 100 bp — duration only</t>
        </is>
      </c>
      <c r="C14" s="24">
        <f>-F8*0.01</f>
        <v/>
      </c>
    </row>
    <row r="15">
      <c r="B15" s="12" t="inlineStr">
        <is>
          <t>If yields rise 100 bp — duration + convexity</t>
        </is>
      </c>
      <c r="C15" s="24">
        <f>-F8*0.01 + 0.5*F10*(0.01^2)</f>
        <v/>
      </c>
    </row>
    <row r="16">
      <c r="B16" s="12" t="inlineStr">
        <is>
          <t>If yields fall 100 bp — duration only</t>
        </is>
      </c>
      <c r="C16" s="24">
        <f>-F8*(-0.01)</f>
        <v/>
      </c>
    </row>
    <row r="17">
      <c r="B17" s="12" t="inlineStr">
        <is>
          <t>If yields fall 100 bp — duration + convexity</t>
        </is>
      </c>
      <c r="C17" s="24">
        <f>-F8*(-0.01) + 0.5*F10*((-0.01)^2)</f>
        <v/>
      </c>
    </row>
    <row r="19" ht="42" customHeight="1">
      <c r="B19" s="25" t="inlineStr">
        <is>
          <t>Insight: notice the asymmetry — for the same 100bp yield move, prices rise more when yields fall than they fall when yields rise. That asymmetry is positive convexity. It's worth something; that's why high-convexity bonds carry slightly lower yields than pure-duration analysis would predict.</t>
        </is>
      </c>
    </row>
    <row r="22">
      <c r="B22" s="26" t="inlineStr">
        <is>
          <t>TEST VERIFICATION</t>
        </is>
      </c>
      <c r="C22" s="7" t="n"/>
      <c r="D22" s="7" t="n"/>
      <c r="E22" s="7" t="n"/>
      <c r="F22" s="7" t="n"/>
    </row>
    <row r="23" ht="32" customHeight="1">
      <c r="B23" s="27" t="inlineStr">
        <is>
          <t>Known-good: input 4.25% coupon, 10 yr, price $965, semi-annual, YTM auto-solved. Macaulay Duration ~8.02 yr, Modified Duration ~7.83 yr, DV01 ~$0.76. If figures differ substantially, verify iterative calc is enabled.</t>
        </is>
      </c>
    </row>
  </sheetData>
  <mergeCells count="4">
    <mergeCell ref="B2:F2"/>
    <mergeCell ref="B23:F23"/>
    <mergeCell ref="B3:F3"/>
    <mergeCell ref="B19:F19"/>
  </mergeCells>
  <dataValidations count="1">
    <dataValidation sqref="C10" showDropDown="0" showInputMessage="1" showErrorMessage="1" allowBlank="0" errorTitle="Invalid frequency" error="Payments per year must be 1 (annual), 2 (semi-annual), or 4 (quarterly)." promptTitle="Frequency" prompt="Choose 1 (annual), 2 (semi-annual), or 4 (quarterly)." type="list">
      <formula1>"1,2,4"</formula1>
    </dataValidation>
  </dataValidations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" customWidth="1" min="1" max="1"/>
    <col width="22" customWidth="1" min="2" max="2"/>
    <col width="12" customWidth="1" min="3" max="3"/>
    <col width="12" customWidth="1" min="4" max="4"/>
    <col width="12" customWidth="1" min="5" max="5"/>
    <col width="10" customWidth="1" min="6" max="6"/>
    <col width="8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4" t="inlineStr">
        <is>
          <t>← Back to INDEX</t>
        </is>
      </c>
    </row>
    <row r="2" ht="26" customHeight="1">
      <c r="B2" s="15" t="inlineStr">
        <is>
          <t>Portfolio — Multi-bond Duration and Convexity</t>
        </is>
      </c>
    </row>
    <row r="4" ht="22" customHeight="1">
      <c r="B4" s="28" t="inlineStr">
        <is>
          <t>★  SAMPLE DATA — the ten bonds below are ILLUSTRATIVE. Replace with your own holdings. Not recommendations.</t>
        </is>
      </c>
      <c r="C4" s="44" t="n"/>
      <c r="D4" s="44" t="n"/>
      <c r="E4" s="44" t="n"/>
      <c r="F4" s="44" t="n"/>
      <c r="G4" s="44" t="n"/>
      <c r="H4" s="44" t="n"/>
      <c r="I4" s="44" t="n"/>
      <c r="J4" s="44" t="n"/>
      <c r="K4" s="43" t="n"/>
    </row>
    <row r="6" ht="30" customHeight="1">
      <c r="B6" s="29" t="inlineStr">
        <is>
          <t>Bond name</t>
        </is>
      </c>
      <c r="C6" s="29" t="inlineStr">
        <is>
          <t>Face ($)</t>
        </is>
      </c>
      <c r="D6" s="29" t="inlineStr">
        <is>
          <t>Coupon %</t>
        </is>
      </c>
      <c r="E6" s="29" t="inlineStr">
        <is>
          <t>Price ($)</t>
        </is>
      </c>
      <c r="F6" s="29" t="inlineStr">
        <is>
          <t>Yrs Mat</t>
        </is>
      </c>
      <c r="G6" s="29" t="inlineStr">
        <is>
          <t>Pmts/Yr</t>
        </is>
      </c>
      <c r="H6" s="29" t="inlineStr">
        <is>
          <t>YTM</t>
        </is>
      </c>
      <c r="I6" s="29" t="inlineStr">
        <is>
          <t>Mac Dur</t>
        </is>
      </c>
      <c r="J6" s="29" t="inlineStr">
        <is>
          <t>Mod Dur</t>
        </is>
      </c>
      <c r="K6" s="29" t="inlineStr">
        <is>
          <t>Convexity</t>
        </is>
      </c>
    </row>
    <row r="7">
      <c r="B7" s="30" t="inlineStr">
        <is>
          <t>US Treasury 4.25% 2035</t>
        </is>
      </c>
      <c r="C7" s="31" t="n">
        <v>100000</v>
      </c>
      <c r="D7" s="19" t="n">
        <v>0.0425</v>
      </c>
      <c r="E7" s="31" t="n">
        <v>96500</v>
      </c>
      <c r="F7" s="21" t="n">
        <v>10</v>
      </c>
      <c r="G7" s="23" t="n">
        <v>2</v>
      </c>
      <c r="H7" s="18">
        <f>IFERROR(IF(E7&gt;0, RATE(F7*G7,C7*D7/G7,-E7,C7)*G7, 0), 0)</f>
        <v/>
      </c>
      <c r="I7" s="32">
        <f>IFERROR(IF(E7&gt;0, DURATION(TODAY(),TODAY()+F7*365.25,D7,H7,G7), 0), 0)</f>
        <v/>
      </c>
      <c r="J7" s="32">
        <f>IFERROR(IF(E7&gt;0, MDURATION(TODAY(),TODAY()+F7*365.25,D7,H7,G7), 0), 0)</f>
        <v/>
      </c>
      <c r="K7" s="32">
        <f>IFERROR(IF(E7&gt;0, ((PRICE(TODAY(),TODAY()+F7*365.25,D7,H7-0.0025,100,G7)*E7/100 + PRICE(TODAY(),TODAY()+F7*365.25,D7,H7+0.0025,100,G7)*E7/100 - 2*E7) / (E7 * 0.0025^2)), 0), 0)</f>
        <v/>
      </c>
    </row>
    <row r="8">
      <c r="B8" s="30" t="inlineStr">
        <is>
          <t>US Treasury 3.75% 2029</t>
        </is>
      </c>
      <c r="C8" s="31" t="n">
        <v>50000</v>
      </c>
      <c r="D8" s="19" t="n">
        <v>0.0375</v>
      </c>
      <c r="E8" s="31" t="n">
        <v>49200</v>
      </c>
      <c r="F8" s="21" t="n">
        <v>4</v>
      </c>
      <c r="G8" s="23" t="n">
        <v>2</v>
      </c>
      <c r="H8" s="18">
        <f>IFERROR(IF(E8&gt;0, RATE(F8*G8,C8*D8/G8,-E8,C8)*G8, 0), 0)</f>
        <v/>
      </c>
      <c r="I8" s="32">
        <f>IFERROR(IF(E8&gt;0, DURATION(TODAY(),TODAY()+F8*365.25,D8,H8,G8), 0), 0)</f>
        <v/>
      </c>
      <c r="J8" s="32">
        <f>IFERROR(IF(E8&gt;0, MDURATION(TODAY(),TODAY()+F8*365.25,D8,H8,G8), 0), 0)</f>
        <v/>
      </c>
      <c r="K8" s="32">
        <f>IFERROR(IF(E8&gt;0, ((PRICE(TODAY(),TODAY()+F8*365.25,D8,H8-0.0025,100,G8)*E8/100 + PRICE(TODAY(),TODAY()+F8*365.25,D8,H8+0.0025,100,G8)*E8/100 - 2*E8) / (E8 * 0.0025^2)), 0), 0)</f>
        <v/>
      </c>
    </row>
    <row r="9">
      <c r="B9" s="30" t="inlineStr">
        <is>
          <t>Apple 4.10% 2033</t>
        </is>
      </c>
      <c r="C9" s="31" t="n">
        <v>25000</v>
      </c>
      <c r="D9" s="19" t="n">
        <v>0.041</v>
      </c>
      <c r="E9" s="31" t="n">
        <v>24800</v>
      </c>
      <c r="F9" s="21" t="n">
        <v>8</v>
      </c>
      <c r="G9" s="23" t="n">
        <v>2</v>
      </c>
      <c r="H9" s="18">
        <f>IFERROR(IF(E9&gt;0, RATE(F9*G9,C9*D9/G9,-E9,C9)*G9, 0), 0)</f>
        <v/>
      </c>
      <c r="I9" s="32">
        <f>IFERROR(IF(E9&gt;0, DURATION(TODAY(),TODAY()+F9*365.25,D9,H9,G9), 0), 0)</f>
        <v/>
      </c>
      <c r="J9" s="32">
        <f>IFERROR(IF(E9&gt;0, MDURATION(TODAY(),TODAY()+F9*365.25,D9,H9,G9), 0), 0)</f>
        <v/>
      </c>
      <c r="K9" s="32">
        <f>IFERROR(IF(E9&gt;0, ((PRICE(TODAY(),TODAY()+F9*365.25,D9,H9-0.0025,100,G9)*E9/100 + PRICE(TODAY(),TODAY()+F9*365.25,D9,H9+0.0025,100,G9)*E9/100 - 2*E9) / (E9 * 0.0025^2)), 0), 0)</f>
        <v/>
      </c>
    </row>
    <row r="10">
      <c r="B10" s="30" t="inlineStr">
        <is>
          <t>Microsoft 3.95% 2031</t>
        </is>
      </c>
      <c r="C10" s="31" t="n">
        <v>25000</v>
      </c>
      <c r="D10" s="19" t="n">
        <v>0.0395</v>
      </c>
      <c r="E10" s="31" t="n">
        <v>24600</v>
      </c>
      <c r="F10" s="21" t="n">
        <v>6</v>
      </c>
      <c r="G10" s="23" t="n">
        <v>2</v>
      </c>
      <c r="H10" s="18">
        <f>IFERROR(IF(E10&gt;0, RATE(F10*G10,C10*D10/G10,-E10,C10)*G10, 0), 0)</f>
        <v/>
      </c>
      <c r="I10" s="32">
        <f>IFERROR(IF(E10&gt;0, DURATION(TODAY(),TODAY()+F10*365.25,D10,H10,G10), 0), 0)</f>
        <v/>
      </c>
      <c r="J10" s="32">
        <f>IFERROR(IF(E10&gt;0, MDURATION(TODAY(),TODAY()+F10*365.25,D10,H10,G10), 0), 0)</f>
        <v/>
      </c>
      <c r="K10" s="32">
        <f>IFERROR(IF(E10&gt;0, ((PRICE(TODAY(),TODAY()+F10*365.25,D10,H10-0.0025,100,G10)*E10/100 + PRICE(TODAY(),TODAY()+F10*365.25,D10,H10+0.0025,100,G10)*E10/100 - 2*E10) / (E10 * 0.0025^2)), 0), 0)</f>
        <v/>
      </c>
    </row>
    <row r="11">
      <c r="B11" s="30" t="inlineStr">
        <is>
          <t>NY GO Muni 3.50% 2036</t>
        </is>
      </c>
      <c r="C11" s="31" t="n">
        <v>50000</v>
      </c>
      <c r="D11" s="19" t="n">
        <v>0.035</v>
      </c>
      <c r="E11" s="31" t="n">
        <v>51800</v>
      </c>
      <c r="F11" s="21" t="n">
        <v>11</v>
      </c>
      <c r="G11" s="23" t="n">
        <v>2</v>
      </c>
      <c r="H11" s="18">
        <f>IFERROR(IF(E11&gt;0, RATE(F11*G11,C11*D11/G11,-E11,C11)*G11, 0), 0)</f>
        <v/>
      </c>
      <c r="I11" s="32">
        <f>IFERROR(IF(E11&gt;0, DURATION(TODAY(),TODAY()+F11*365.25,D11,H11,G11), 0), 0)</f>
        <v/>
      </c>
      <c r="J11" s="32">
        <f>IFERROR(IF(E11&gt;0, MDURATION(TODAY(),TODAY()+F11*365.25,D11,H11,G11), 0), 0)</f>
        <v/>
      </c>
      <c r="K11" s="32">
        <f>IFERROR(IF(E11&gt;0, ((PRICE(TODAY(),TODAY()+F11*365.25,D11,H11-0.0025,100,G11)*E11/100 + PRICE(TODAY(),TODAY()+F11*365.25,D11,H11+0.0025,100,G11)*E11/100 - 2*E11) / (E11 * 0.0025^2)), 0), 0)</f>
        <v/>
      </c>
    </row>
    <row r="12">
      <c r="B12" s="30" t="inlineStr">
        <is>
          <t>CA GO Muni 3.75% 2038</t>
        </is>
      </c>
      <c r="C12" s="31" t="n">
        <v>30000</v>
      </c>
      <c r="D12" s="19" t="n">
        <v>0.0375</v>
      </c>
      <c r="E12" s="31" t="n">
        <v>30500</v>
      </c>
      <c r="F12" s="21" t="n">
        <v>13</v>
      </c>
      <c r="G12" s="23" t="n">
        <v>2</v>
      </c>
      <c r="H12" s="18">
        <f>IFERROR(IF(E12&gt;0, RATE(F12*G12,C12*D12/G12,-E12,C12)*G12, 0), 0)</f>
        <v/>
      </c>
      <c r="I12" s="32">
        <f>IFERROR(IF(E12&gt;0, DURATION(TODAY(),TODAY()+F12*365.25,D12,H12,G12), 0), 0)</f>
        <v/>
      </c>
      <c r="J12" s="32">
        <f>IFERROR(IF(E12&gt;0, MDURATION(TODAY(),TODAY()+F12*365.25,D12,H12,G12), 0), 0)</f>
        <v/>
      </c>
      <c r="K12" s="32">
        <f>IFERROR(IF(E12&gt;0, ((PRICE(TODAY(),TODAY()+F12*365.25,D12,H12-0.0025,100,G12)*E12/100 + PRICE(TODAY(),TODAY()+F12*365.25,D12,H12+0.0025,100,G12)*E12/100 - 2*E12) / (E12 * 0.0025^2)), 0), 0)</f>
        <v/>
      </c>
    </row>
    <row r="13">
      <c r="B13" s="30" t="inlineStr">
        <is>
          <t>Johnson &amp; Johnson 4.20% 2032</t>
        </is>
      </c>
      <c r="C13" s="31" t="n">
        <v>25000</v>
      </c>
      <c r="D13" s="19" t="n">
        <v>0.042</v>
      </c>
      <c r="E13" s="31" t="n">
        <v>25200</v>
      </c>
      <c r="F13" s="21" t="n">
        <v>7</v>
      </c>
      <c r="G13" s="23" t="n">
        <v>2</v>
      </c>
      <c r="H13" s="18">
        <f>IFERROR(IF(E13&gt;0, RATE(F13*G13,C13*D13/G13,-E13,C13)*G13, 0), 0)</f>
        <v/>
      </c>
      <c r="I13" s="32">
        <f>IFERROR(IF(E13&gt;0, DURATION(TODAY(),TODAY()+F13*365.25,D13,H13,G13), 0), 0)</f>
        <v/>
      </c>
      <c r="J13" s="32">
        <f>IFERROR(IF(E13&gt;0, MDURATION(TODAY(),TODAY()+F13*365.25,D13,H13,G13), 0), 0)</f>
        <v/>
      </c>
      <c r="K13" s="32">
        <f>IFERROR(IF(E13&gt;0, ((PRICE(TODAY(),TODAY()+F13*365.25,D13,H13-0.0025,100,G13)*E13/100 + PRICE(TODAY(),TODAY()+F13*365.25,D13,H13+0.0025,100,G13)*E13/100 - 2*E13) / (E13 * 0.0025^2)), 0), 0)</f>
        <v/>
      </c>
    </row>
    <row r="14">
      <c r="B14" s="30" t="inlineStr">
        <is>
          <t>Berkshire Hathaway 3.80% 2030</t>
        </is>
      </c>
      <c r="C14" s="31" t="n">
        <v>30000</v>
      </c>
      <c r="D14" s="19" t="n">
        <v>0.038</v>
      </c>
      <c r="E14" s="31" t="n">
        <v>29800</v>
      </c>
      <c r="F14" s="21" t="n">
        <v>5</v>
      </c>
      <c r="G14" s="23" t="n">
        <v>2</v>
      </c>
      <c r="H14" s="18">
        <f>IFERROR(IF(E14&gt;0, RATE(F14*G14,C14*D14/G14,-E14,C14)*G14, 0), 0)</f>
        <v/>
      </c>
      <c r="I14" s="32">
        <f>IFERROR(IF(E14&gt;0, DURATION(TODAY(),TODAY()+F14*365.25,D14,H14,G14), 0), 0)</f>
        <v/>
      </c>
      <c r="J14" s="32">
        <f>IFERROR(IF(E14&gt;0, MDURATION(TODAY(),TODAY()+F14*365.25,D14,H14,G14), 0), 0)</f>
        <v/>
      </c>
      <c r="K14" s="32">
        <f>IFERROR(IF(E14&gt;0, ((PRICE(TODAY(),TODAY()+F14*365.25,D14,H14-0.0025,100,G14)*E14/100 + PRICE(TODAY(),TODAY()+F14*365.25,D14,H14+0.0025,100,G14)*E14/100 - 2*E14) / (E14 * 0.0025^2)), 0), 0)</f>
        <v/>
      </c>
    </row>
    <row r="15">
      <c r="B15" s="30" t="inlineStr">
        <is>
          <t>US Treasury 4.50% 2054</t>
        </is>
      </c>
      <c r="C15" s="31" t="n">
        <v>100000</v>
      </c>
      <c r="D15" s="19" t="n">
        <v>0.045</v>
      </c>
      <c r="E15" s="31" t="n">
        <v>91000</v>
      </c>
      <c r="F15" s="21" t="n">
        <v>29</v>
      </c>
      <c r="G15" s="23" t="n">
        <v>2</v>
      </c>
      <c r="H15" s="18">
        <f>IFERROR(IF(E15&gt;0, RATE(F15*G15,C15*D15/G15,-E15,C15)*G15, 0), 0)</f>
        <v/>
      </c>
      <c r="I15" s="32">
        <f>IFERROR(IF(E15&gt;0, DURATION(TODAY(),TODAY()+F15*365.25,D15,H15,G15), 0), 0)</f>
        <v/>
      </c>
      <c r="J15" s="32">
        <f>IFERROR(IF(E15&gt;0, MDURATION(TODAY(),TODAY()+F15*365.25,D15,H15,G15), 0), 0)</f>
        <v/>
      </c>
      <c r="K15" s="32">
        <f>IFERROR(IF(E15&gt;0, ((PRICE(TODAY(),TODAY()+F15*365.25,D15,H15-0.0025,100,G15)*E15/100 + PRICE(TODAY(),TODAY()+F15*365.25,D15,H15+0.0025,100,G15)*E15/100 - 2*E15) / (E15 * 0.0025^2)), 0), 0)</f>
        <v/>
      </c>
    </row>
    <row r="16">
      <c r="B16" s="30" t="inlineStr">
        <is>
          <t>PG&amp;E 5.25% 2028</t>
        </is>
      </c>
      <c r="C16" s="31" t="n">
        <v>20000</v>
      </c>
      <c r="D16" s="19" t="n">
        <v>0.0525</v>
      </c>
      <c r="E16" s="31" t="n">
        <v>20400</v>
      </c>
      <c r="F16" s="21" t="n">
        <v>3</v>
      </c>
      <c r="G16" s="23" t="n">
        <v>2</v>
      </c>
      <c r="H16" s="18">
        <f>IFERROR(IF(E16&gt;0, RATE(F16*G16,C16*D16/G16,-E16,C16)*G16, 0), 0)</f>
        <v/>
      </c>
      <c r="I16" s="32">
        <f>IFERROR(IF(E16&gt;0, DURATION(TODAY(),TODAY()+F16*365.25,D16,H16,G16), 0), 0)</f>
        <v/>
      </c>
      <c r="J16" s="32">
        <f>IFERROR(IF(E16&gt;0, MDURATION(TODAY(),TODAY()+F16*365.25,D16,H16,G16), 0), 0)</f>
        <v/>
      </c>
      <c r="K16" s="32">
        <f>IFERROR(IF(E16&gt;0, ((PRICE(TODAY(),TODAY()+F16*365.25,D16,H16-0.0025,100,G16)*E16/100 + PRICE(TODAY(),TODAY()+F16*365.25,D16,H16+0.0025,100,G16)*E16/100 - 2*E16) / (E16 * 0.0025^2)), 0), 0)</f>
        <v/>
      </c>
    </row>
    <row r="18">
      <c r="B18" s="16" t="inlineStr">
        <is>
          <t>PORTFOLIO TOTALS</t>
        </is>
      </c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</row>
    <row r="19">
      <c r="B19" s="12" t="inlineStr">
        <is>
          <t>Total market value</t>
        </is>
      </c>
      <c r="E19" s="33">
        <f>SUM(E7:E16)</f>
        <v/>
      </c>
    </row>
    <row r="20">
      <c r="B20" s="12" t="inlineStr">
        <is>
          <t>Weighted-average modified duration (by MV)</t>
        </is>
      </c>
      <c r="J20" s="34">
        <f>IFERROR(IF(SUM(E7:E16)&gt;0, SUMPRODUCT(J7:J16,E7:E16)/SUM(E7:E16), 0), 0)</f>
        <v/>
      </c>
    </row>
    <row r="21">
      <c r="B21" s="12" t="inlineStr">
        <is>
          <t>Weighted-average convexity (by MV)</t>
        </is>
      </c>
      <c r="K21" s="34">
        <f>IFERROR(IF(SUM(E7:E16)&gt;0, SUMPRODUCT(K7:K16,E7:E16)/SUM(E7:E16), 0), 0)</f>
        <v/>
      </c>
    </row>
    <row r="22">
      <c r="B22" s="12" t="inlineStr">
        <is>
          <t>Portfolio DV01 (dollar per basis point)</t>
        </is>
      </c>
      <c r="J22" s="35">
        <f>IFERROR(J20*E19*0.0001, 0)</f>
        <v/>
      </c>
    </row>
    <row r="24" ht="22" customHeight="1">
      <c r="B24" s="45" t="inlineStr">
        <is>
          <t>CLIENT-FACING SUMMARY  ·  parallel yield shift on the book above</t>
        </is>
      </c>
      <c r="C24" s="46" t="n"/>
      <c r="D24" s="46" t="n"/>
      <c r="E24" s="46" t="n"/>
      <c r="F24" s="46" t="n"/>
      <c r="G24" s="46" t="n"/>
      <c r="H24" s="46" t="n"/>
      <c r="I24" s="46" t="n"/>
      <c r="J24" s="46" t="n"/>
      <c r="K24" s="46" t="n"/>
    </row>
    <row r="25" ht="18" customHeight="1">
      <c r="B25" s="47" t="inlineStr">
        <is>
          <t>Total book market value</t>
        </is>
      </c>
      <c r="E25" s="48">
        <f>E19</f>
        <v/>
      </c>
    </row>
    <row r="26" ht="18" customHeight="1">
      <c r="B26" s="47" t="inlineStr">
        <is>
          <t>Weighted-average modified duration</t>
        </is>
      </c>
      <c r="E26" s="49">
        <f>J20</f>
        <v/>
      </c>
    </row>
    <row r="27" ht="18" customHeight="1">
      <c r="B27" s="47" t="inlineStr">
        <is>
          <t>If yields rise 100bp — estimated book P&amp;L (duration only)</t>
        </is>
      </c>
      <c r="E27" s="50">
        <f>-J20*0.01*E19</f>
        <v/>
      </c>
    </row>
    <row r="28" ht="18" customHeight="1">
      <c r="B28" s="47" t="inlineStr">
        <is>
          <t>If yields rise 100bp — estimated book P&amp;L (duration + convexity)</t>
        </is>
      </c>
      <c r="E28" s="50">
        <f>(-J20*0.01 + 0.5*K21*0.01^2)*E19</f>
        <v/>
      </c>
    </row>
    <row r="29" ht="18" customHeight="1">
      <c r="B29" s="47" t="inlineStr">
        <is>
          <t>If yields fall 100bp — estimated book P&amp;L (duration only)</t>
        </is>
      </c>
      <c r="E29" s="50">
        <f>J20*0.01*E19</f>
        <v/>
      </c>
    </row>
    <row r="30" ht="18" customHeight="1">
      <c r="B30" s="47" t="inlineStr">
        <is>
          <t>If yields fall 100bp — estimated book P&amp;L (duration + convexity)</t>
        </is>
      </c>
      <c r="E30" s="50">
        <f>(J20*0.01 + 0.5*K21*0.01^2)*E19</f>
        <v/>
      </c>
    </row>
    <row r="32" ht="18" customHeight="1">
      <c r="B32" s="51" t="inlineStr">
        <is>
          <t>Client-copy paragraph (paste directly into a client review): "Your bond portfolio has a weighted-average duration of approximately [E26] years, meaning a 1% parallel rate move affects book value by roughly the same percentage. Using the finite-difference convexity computation on the individual holdings, a 100 basis point rate rise is estimated to reduce book value by [E28] (vs. [E27] using duration alone); a 100 basis point rate fall is estimated to add [E30] (vs. [E29] using duration alone). Estimates assume a parallel curve shift and do not include curve twist, credit spread, or reinvestment effects."</t>
        </is>
      </c>
    </row>
    <row r="33" ht="18" customHeight="1"/>
    <row r="34" ht="18" customHeight="1"/>
    <row r="35" ht="18" customHeight="1"/>
  </sheetData>
  <mergeCells count="4">
    <mergeCell ref="B4:K4"/>
    <mergeCell ref="B32:K35"/>
    <mergeCell ref="B24:K24"/>
    <mergeCell ref="B2:K2"/>
  </mergeCells>
  <dataValidations count="1">
    <dataValidation sqref="G7:G16" showDropDown="0" showInputMessage="1" showErrorMessage="1" allowBlank="1" errorTitle="Invalid frequency" error="Payments per year must be 1 (annual), 2 (semi-annual), or 4 (quarterly). Leave blank if the row is unused." promptTitle="Frequency" prompt="1 (annual), 2 (semi-annual), or 4 (quarterly)." type="list">
      <formula1>"1,2,4"</formula1>
    </dataValidation>
  </dataValidations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5" customWidth="1" min="3" max="3"/>
    <col width="15" customWidth="1" min="4" max="4"/>
    <col width="15" customWidth="1" min="5" max="5"/>
    <col width="15" customWidth="1" min="6" max="6"/>
    <col width="30" customWidth="1" min="7" max="7"/>
  </cols>
  <sheetData>
    <row r="1">
      <c r="A1" s="14" t="inlineStr">
        <is>
          <t>← Back to INDEX</t>
        </is>
      </c>
    </row>
    <row r="2" ht="26" customHeight="1">
      <c r="B2" s="15" t="inlineStr">
        <is>
          <t>Sensitivity Analysis — Yield-Shift Price Change</t>
        </is>
      </c>
    </row>
    <row r="3" ht="18" customHeight="1">
      <c r="B3" s="13" t="inlineStr">
        <is>
          <t>Uses Modified Duration and Convexity from Tab 1. Compares linear (duration-only) vs. quadratic (duration + convexity) price-change estimates across yield shifts.</t>
        </is>
      </c>
    </row>
    <row r="5" ht="32" customHeight="1">
      <c r="B5" s="29" t="inlineStr">
        <is>
          <t>Yield shift (bp)</t>
        </is>
      </c>
      <c r="C5" s="29" t="inlineStr">
        <is>
          <t>Δy (decimal)</t>
        </is>
      </c>
      <c r="D5" s="29" t="inlineStr">
        <is>
          <t>ΔP % — duration only</t>
        </is>
      </c>
      <c r="E5" s="29" t="inlineStr">
        <is>
          <t>ΔP % — dur + convexity</t>
        </is>
      </c>
      <c r="F5" s="29" t="inlineStr">
        <is>
          <t>Gap (bp)</t>
        </is>
      </c>
      <c r="G5" s="29" t="inlineStr">
        <is>
          <t>Interpretation</t>
        </is>
      </c>
    </row>
    <row r="6">
      <c r="B6" s="36" t="n">
        <v>-300</v>
      </c>
      <c r="C6" s="37">
        <f>B6/10000</f>
        <v/>
      </c>
      <c r="D6" s="38">
        <f>-'1. Single Bond'!F8 * C6</f>
        <v/>
      </c>
      <c r="E6" s="38">
        <f>-'1. Single Bond'!F8 * C6 + 0.5 * '1. Single Bond'!F10 * C6^2</f>
        <v/>
      </c>
      <c r="F6" s="39">
        <f>(E6-D6)*10000</f>
        <v/>
      </c>
      <c r="G6" s="40" t="inlineStr">
        <is>
          <t>Large move — convexity is essential; duration alone misleads</t>
        </is>
      </c>
    </row>
    <row r="7">
      <c r="B7" s="36" t="n">
        <v>-200</v>
      </c>
      <c r="C7" s="37">
        <f>B7/10000</f>
        <v/>
      </c>
      <c r="D7" s="38">
        <f>-'1. Single Bond'!F8 * C7</f>
        <v/>
      </c>
      <c r="E7" s="38">
        <f>-'1. Single Bond'!F8 * C7 + 0.5 * '1. Single Bond'!F10 * C7^2</f>
        <v/>
      </c>
      <c r="F7" s="39">
        <f>(E7-D7)*10000</f>
        <v/>
      </c>
      <c r="G7" s="40" t="inlineStr">
        <is>
          <t>Large move — convexity is essential; duration alone misleads</t>
        </is>
      </c>
    </row>
    <row r="8">
      <c r="B8" s="36" t="n">
        <v>-150</v>
      </c>
      <c r="C8" s="37">
        <f>B8/10000</f>
        <v/>
      </c>
      <c r="D8" s="38">
        <f>-'1. Single Bond'!F8 * C8</f>
        <v/>
      </c>
      <c r="E8" s="38">
        <f>-'1. Single Bond'!F8 * C8 + 0.5 * '1. Single Bond'!F10 * C8^2</f>
        <v/>
      </c>
      <c r="F8" s="39">
        <f>(E8-D8)*10000</f>
        <v/>
      </c>
      <c r="G8" s="40" t="inlineStr">
        <is>
          <t>Medium move — convexity begins to matter</t>
        </is>
      </c>
    </row>
    <row r="9">
      <c r="B9" s="36" t="n">
        <v>-100</v>
      </c>
      <c r="C9" s="37">
        <f>B9/10000</f>
        <v/>
      </c>
      <c r="D9" s="38">
        <f>-'1. Single Bond'!F8 * C9</f>
        <v/>
      </c>
      <c r="E9" s="38">
        <f>-'1. Single Bond'!F8 * C9 + 0.5 * '1. Single Bond'!F10 * C9^2</f>
        <v/>
      </c>
      <c r="F9" s="39">
        <f>(E9-D9)*10000</f>
        <v/>
      </c>
      <c r="G9" s="40" t="inlineStr">
        <is>
          <t>Medium move — convexity begins to matter</t>
        </is>
      </c>
    </row>
    <row r="10">
      <c r="B10" s="36" t="n">
        <v>-50</v>
      </c>
      <c r="C10" s="37">
        <f>B10/10000</f>
        <v/>
      </c>
      <c r="D10" s="38">
        <f>-'1. Single Bond'!F8 * C10</f>
        <v/>
      </c>
      <c r="E10" s="38">
        <f>-'1. Single Bond'!F8 * C10 + 0.5 * '1. Single Bond'!F10 * C10^2</f>
        <v/>
      </c>
      <c r="F10" s="39">
        <f>(E10-D10)*10000</f>
        <v/>
      </c>
      <c r="G10" s="40" t="inlineStr">
        <is>
          <t>Small move — duration approximation is accurate</t>
        </is>
      </c>
    </row>
    <row r="11">
      <c r="B11" s="36" t="n">
        <v>-25</v>
      </c>
      <c r="C11" s="37">
        <f>B11/10000</f>
        <v/>
      </c>
      <c r="D11" s="38">
        <f>-'1. Single Bond'!F8 * C11</f>
        <v/>
      </c>
      <c r="E11" s="38">
        <f>-'1. Single Bond'!F8 * C11 + 0.5 * '1. Single Bond'!F10 * C11^2</f>
        <v/>
      </c>
      <c r="F11" s="39">
        <f>(E11-D11)*10000</f>
        <v/>
      </c>
      <c r="G11" s="40" t="inlineStr">
        <is>
          <t>Small move — duration approximation is accurate</t>
        </is>
      </c>
    </row>
    <row r="12">
      <c r="B12" s="36" t="n">
        <v>0</v>
      </c>
      <c r="C12" s="37">
        <f>B12/10000</f>
        <v/>
      </c>
      <c r="D12" s="38">
        <f>-'1. Single Bond'!F8 * C12</f>
        <v/>
      </c>
      <c r="E12" s="38">
        <f>-'1. Single Bond'!F8 * C12 + 0.5 * '1. Single Bond'!F10 * C12^2</f>
        <v/>
      </c>
      <c r="F12" s="39">
        <f>(E12-D12)*10000</f>
        <v/>
      </c>
      <c r="G12" s="40" t="inlineStr">
        <is>
          <t>No yield change — no price change</t>
        </is>
      </c>
    </row>
    <row r="13">
      <c r="B13" s="36" t="n">
        <v>25</v>
      </c>
      <c r="C13" s="37">
        <f>B13/10000</f>
        <v/>
      </c>
      <c r="D13" s="38">
        <f>-'1. Single Bond'!F8 * C13</f>
        <v/>
      </c>
      <c r="E13" s="38">
        <f>-'1. Single Bond'!F8 * C13 + 0.5 * '1. Single Bond'!F10 * C13^2</f>
        <v/>
      </c>
      <c r="F13" s="39">
        <f>(E13-D13)*10000</f>
        <v/>
      </c>
      <c r="G13" s="40" t="inlineStr">
        <is>
          <t>Small move — duration approximation is accurate</t>
        </is>
      </c>
    </row>
    <row r="14">
      <c r="B14" s="36" t="n">
        <v>50</v>
      </c>
      <c r="C14" s="37">
        <f>B14/10000</f>
        <v/>
      </c>
      <c r="D14" s="38">
        <f>-'1. Single Bond'!F8 * C14</f>
        <v/>
      </c>
      <c r="E14" s="38">
        <f>-'1. Single Bond'!F8 * C14 + 0.5 * '1. Single Bond'!F10 * C14^2</f>
        <v/>
      </c>
      <c r="F14" s="39">
        <f>(E14-D14)*10000</f>
        <v/>
      </c>
      <c r="G14" s="40" t="inlineStr">
        <is>
          <t>Small move — duration approximation is accurate</t>
        </is>
      </c>
    </row>
    <row r="15">
      <c r="B15" s="36" t="n">
        <v>100</v>
      </c>
      <c r="C15" s="37">
        <f>B15/10000</f>
        <v/>
      </c>
      <c r="D15" s="38">
        <f>-'1. Single Bond'!F8 * C15</f>
        <v/>
      </c>
      <c r="E15" s="38">
        <f>-'1. Single Bond'!F8 * C15 + 0.5 * '1. Single Bond'!F10 * C15^2</f>
        <v/>
      </c>
      <c r="F15" s="39">
        <f>(E15-D15)*10000</f>
        <v/>
      </c>
      <c r="G15" s="40" t="inlineStr">
        <is>
          <t>Medium move — convexity begins to matter</t>
        </is>
      </c>
    </row>
    <row r="16">
      <c r="B16" s="36" t="n">
        <v>150</v>
      </c>
      <c r="C16" s="37">
        <f>B16/10000</f>
        <v/>
      </c>
      <c r="D16" s="38">
        <f>-'1. Single Bond'!F8 * C16</f>
        <v/>
      </c>
      <c r="E16" s="38">
        <f>-'1. Single Bond'!F8 * C16 + 0.5 * '1. Single Bond'!F10 * C16^2</f>
        <v/>
      </c>
      <c r="F16" s="39">
        <f>(E16-D16)*10000</f>
        <v/>
      </c>
      <c r="G16" s="40" t="inlineStr">
        <is>
          <t>Medium move — convexity begins to matter</t>
        </is>
      </c>
    </row>
    <row r="17">
      <c r="B17" s="36" t="n">
        <v>200</v>
      </c>
      <c r="C17" s="37">
        <f>B17/10000</f>
        <v/>
      </c>
      <c r="D17" s="38">
        <f>-'1. Single Bond'!F8 * C17</f>
        <v/>
      </c>
      <c r="E17" s="38">
        <f>-'1. Single Bond'!F8 * C17 + 0.5 * '1. Single Bond'!F10 * C17^2</f>
        <v/>
      </c>
      <c r="F17" s="39">
        <f>(E17-D17)*10000</f>
        <v/>
      </c>
      <c r="G17" s="40" t="inlineStr">
        <is>
          <t>Large move — convexity is essential; duration alone misleads</t>
        </is>
      </c>
    </row>
    <row r="18">
      <c r="B18" s="36" t="n">
        <v>300</v>
      </c>
      <c r="C18" s="37">
        <f>B18/10000</f>
        <v/>
      </c>
      <c r="D18" s="38">
        <f>-'1. Single Bond'!F8 * C18</f>
        <v/>
      </c>
      <c r="E18" s="38">
        <f>-'1. Single Bond'!F8 * C18 + 0.5 * '1. Single Bond'!F10 * C18^2</f>
        <v/>
      </c>
      <c r="F18" s="39">
        <f>(E18-D18)*10000</f>
        <v/>
      </c>
      <c r="G18" s="40" t="inlineStr">
        <is>
          <t>Large move — convexity is essential; duration alone misleads</t>
        </is>
      </c>
    </row>
    <row r="20" ht="42" customHeight="1">
      <c r="B20" s="25" t="inlineStr">
        <is>
          <t>The Gap column shows how many basis points the duration-only estimate misses versus the duration+convexity estimate. Notice the gap is symmetric-in-sign but ASYMMETRIC-in-favor-of-the-holder: convexity helps when yields fall (adds to price) more than it hurts when yields rise. That is positive convexity in one column.</t>
        </is>
      </c>
    </row>
  </sheetData>
  <mergeCells count="3">
    <mergeCell ref="B3:G3"/>
    <mergeCell ref="B2:G2"/>
    <mergeCell ref="B20:G20"/>
  </mergeCells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90" customWidth="1" min="3" max="3"/>
  </cols>
  <sheetData>
    <row r="1">
      <c r="A1" s="14" t="inlineStr">
        <is>
          <t>← Back to INDEX</t>
        </is>
      </c>
    </row>
    <row r="2" ht="26" customHeight="1">
      <c r="B2" s="15" t="inlineStr">
        <is>
          <t>Bond Duration &amp; Convexity Reference</t>
        </is>
      </c>
    </row>
    <row r="4" ht="60" customHeight="1">
      <c r="B4" s="41" t="inlineStr">
        <is>
          <t>Macaulay Duration</t>
        </is>
      </c>
      <c r="C4" s="42" t="inlineStr">
        <is>
          <t>The weighted-average time until you receive the bond's cash flows, weighted by PV of each cash flow. Measured in years. A 10-year zero-coupon bond has Mac Duration = 10; a 10-year 4% coupon bond has ~8.4.  ⟶ Computed on Tab 1 (F7) and Tab 2 (column I).</t>
        </is>
      </c>
    </row>
    <row r="6" ht="60" customHeight="1">
      <c r="B6" s="41" t="inlineStr">
        <is>
          <t>Modified Duration</t>
        </is>
      </c>
      <c r="C6" s="42" t="inlineStr">
        <is>
          <t>Macaulay Duration adjusted for periodic yield: D_mod = D_mac / (1 + y/m). Represents approximate percentage price change per 100 basis point yield change.  ⟶ Computed on Tab 1 (F8) and Tab 2 (column J).</t>
        </is>
      </c>
    </row>
    <row r="8" ht="60" customHeight="1">
      <c r="B8" s="41" t="inlineStr">
        <is>
          <t>DV01 (Dollar Value of a Basis Point)</t>
        </is>
      </c>
      <c r="C8" s="42" t="inlineStr">
        <is>
          <t>The dollar price change per 1 basis point (0.01%) yield change: DV01 = Modified Duration × Price × 0.0001. Practitioners use DV01 to size interest-rate hedges.  ⟶ Computed on Tab 1 (F9).</t>
        </is>
      </c>
    </row>
    <row r="10" ht="60" customHeight="1">
      <c r="B10" s="41" t="inlineStr">
        <is>
          <t>Convexity</t>
        </is>
      </c>
      <c r="C10" s="42" t="inlineStr">
        <is>
          <t>The second-order price-yield curvature. Formal formula: Convexity = (1/P) × Σ [t(t+1) × PV(cf_t)] / (1+y/m)². This workbook uses a finite-difference approximation with ±25bp yield shifts, which converges to the closed-form value for standard coupon bonds.  ⟶ Computed on Tab 1 (F10) and Tab 2 (column K).</t>
        </is>
      </c>
    </row>
    <row r="12" ht="60" customHeight="1">
      <c r="B12" s="41" t="inlineStr">
        <is>
          <t>Price-change estimate (with convexity)</t>
        </is>
      </c>
      <c r="C12" s="42" t="inlineStr">
        <is>
          <t>ΔP / P ≈ −D_mod × Δy + (1/2) × Convexity × Δy². The first term is linear (duration); the second is quadratic (convexity). For small Δy, duration alone is accurate. For Δy &gt; 150bp, convexity is essential.  ⟶ See Tab 3 (Sensitivity).</t>
        </is>
      </c>
    </row>
    <row r="14" ht="60" customHeight="1">
      <c r="B14" s="41" t="inlineStr">
        <is>
          <t>Positive convexity</t>
        </is>
      </c>
      <c r="C14" s="42" t="inlineStr">
        <is>
          <t>For standard bonds (option-free, non-callable), convexity is positive: bonds gain more when yields fall than they lose when yields rise by the same amount. This asymmetry is worth something — high-convexity bonds carry slightly lower yields than pure-duration analysis would predict.</t>
        </is>
      </c>
    </row>
    <row r="16" ht="60" customHeight="1">
      <c r="B16" s="41" t="inlineStr">
        <is>
          <t>Negative convexity</t>
        </is>
      </c>
      <c r="C16" s="42" t="inlineStr">
        <is>
          <t>Callable bonds and mortgage-backed securities can exhibit negative convexity: as yields fall, the issuer/borrower prepays or calls, capping the price appreciation. Duration alone misleads on these instruments; effective duration (option-adjusted) is required.</t>
        </is>
      </c>
    </row>
    <row r="18" ht="60" customHeight="1">
      <c r="B18" s="41" t="inlineStr">
        <is>
          <t>Effective Duration</t>
        </is>
      </c>
      <c r="C18" s="42" t="inlineStr">
        <is>
          <t>The option-adjusted duration for bonds with embedded options (callables, MBS, puttable bonds). Requires an option-adjusted spread (OAS) model to compute. Not modeled in this workbook; use Bloomberg terminal or specialized fixed-income analytics for effective duration.</t>
        </is>
      </c>
    </row>
    <row r="20" ht="60" customHeight="1">
      <c r="B20" s="41" t="inlineStr">
        <is>
          <t>Key-Rate Duration</t>
        </is>
      </c>
      <c r="C20" s="42" t="inlineStr">
        <is>
          <t>Duration decomposed by point on the yield curve — how much the bond's price responds to a shift at each key tenor (2yr, 5yr, 10yr, 30yr) rather than to a parallel shift of the entire curve. Not modeled here; used by institutional portfolio managers for detailed rate-risk hedging.</t>
        </is>
      </c>
    </row>
    <row r="22" ht="60" customHeight="1">
      <c r="B22" s="41" t="inlineStr">
        <is>
          <t>The DURATION and MDURATION Excel functions</t>
        </is>
      </c>
      <c r="C22" s="42" t="inlineStr">
        <is>
          <t>Excel's DURATION(settlement, maturity, coupon_rate, YTM, frequency) returns Macaulay Duration in years. MDURATION(...) returns Modified Duration. Both require calendar dates, not year counts — this workbook uses synthetic dates (TODAY() and TODAY() + years × 365.25) so a year-only input produces the same result as the closed-form calculation.</t>
        </is>
      </c>
    </row>
    <row r="24" ht="60" customHeight="1">
      <c r="B24" s="41" t="inlineStr">
        <is>
          <t>The PRICE Excel function</t>
        </is>
      </c>
      <c r="C24" s="42" t="inlineStr">
        <is>
          <t>PRICE(settlement, maturity, coupon_rate, YTM, redemption, frequency) returns bond price per $100 face given a yield input. This workbook uses PRICE in the finite-difference convexity computation: compute price at YTM+25bp and YTM−25bp, plug into the convexity formula.</t>
        </is>
      </c>
    </row>
  </sheetData>
  <mergeCells count="1">
    <mergeCell ref="B2:C2"/>
  </mergeCells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1">
      <c r="A1" s="14" t="inlineStr">
        <is>
          <t>← Back to INDEX</t>
        </is>
      </c>
    </row>
    <row r="2" ht="26" customHeight="1">
      <c r="B2" s="15" t="inlineStr">
        <is>
          <t>Assumptions, Limitations, and Disclosures</t>
        </is>
      </c>
    </row>
    <row r="4">
      <c r="B4" s="8" t="inlineStr">
        <is>
          <t>WHAT THIS WORKBOOK DOES</t>
        </is>
      </c>
    </row>
    <row r="5" ht="70" customHeight="1">
      <c r="B5" s="42" t="inlineStr">
        <is>
          <t>Computes Macaulay Duration, Modified Duration, DV01, and Convexity on any coupon bond. Extends to a 10-bond portfolio with weighted-average duration, convexity, and portfolio DV01. Provides a yield-shift sensitivity analysis across ±300 basis points.</t>
        </is>
      </c>
    </row>
    <row r="7">
      <c r="B7" s="8" t="inlineStr">
        <is>
          <t>WHAT IT DOES NOT DO</t>
        </is>
      </c>
    </row>
    <row r="8" ht="70" customHeight="1">
      <c r="B8" s="42" t="inlineStr">
        <is>
          <t>Does not model effective duration or option-adjusted duration for callable bonds or MBS (see standalone tools). Does not compute key-rate duration for non-parallel yield-curve shifts. Does not model convexity for negatively-convex instruments. Does not incorporate credit spread duration. Does not model tax treatment (see the Bond Yield Workbook for tax-adjusted yield calculations). Does not compute accrued interest or clean-vs-dirty price adjustments.</t>
        </is>
      </c>
    </row>
    <row r="10">
      <c r="B10" s="8" t="inlineStr">
        <is>
          <t>CONVEXITY CALCULATION</t>
        </is>
      </c>
    </row>
    <row r="11" ht="70" customHeight="1">
      <c r="B11" s="42" t="inlineStr">
        <is>
          <t>This workbook computes convexity via a finite-difference approximation: (P(y-Δ) + P(y+Δ) - 2P) / (P × Δ²), where Δ = 25bp. For standard coupon bonds this converges to the closed-form Σ[t(t+1)·PV(cf_t)] formula to within a few decimal places. For non-standard cash flows (irregular coupons, sinking funds, step-up coupons), the finite-difference approach may miss features that a closed-form treatment would catch.</t>
        </is>
      </c>
    </row>
    <row r="13">
      <c r="B13" s="8" t="inlineStr">
        <is>
          <t>YIELD CONVENTIONS</t>
        </is>
      </c>
    </row>
    <row r="14" ht="70" customHeight="1">
      <c r="B14" s="42" t="inlineStr">
        <is>
          <t>The workbook uses the same YTM convention as the Excel RATE function: semi-annually compounded, bond-equivalent yield. Actual/Actual day count is approximated by the synthetic-date approach (TODAY() and TODAY() + years × 365.25).</t>
        </is>
      </c>
    </row>
    <row r="16">
      <c r="B16" s="8" t="inlineStr">
        <is>
          <t>DISCLAIMER</t>
        </is>
      </c>
    </row>
    <row r="17" ht="70" customHeight="1">
      <c r="B17" s="42" t="inlineStr">
        <is>
          <t>This workbook is an educational tool. It is not investment, tax, or legal advice. Duration and convexity are quantitative measures of interest-rate risk; they do not model credit risk, liquidity risk, or optionality. Bond pricing in the real market includes accrued interest, bid-ask spread, settlement conventions, and credit risk that this workbook's simplified framework does not capture. Consult a fixed-income specialist or your broker for trade-level analysis. The Baratelli Institute does not sell bonds or earn commissions on referrals.</t>
        </is>
      </c>
    </row>
    <row r="19">
      <c r="B19" s="8" t="inlineStr">
        <is>
          <t>COMPANION RESOURCES</t>
        </is>
      </c>
    </row>
    <row r="20" ht="70" customHeight="1">
      <c r="B20" s="42" t="inlineStr">
        <is>
          <t>Bond Yield Workbook (companion, free): baratelliinstitute.com/tool-bond-yield-calculator.html Financial Modeling Toolkit ($99): baratelliinstitute.com/financial-modeling-toolkit.html CFO &amp; Controller's Guide ($449): baratelliinstitute.com/guide-cfo.html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2026-07-13T09:31:06Z</dcterms:created>
  <dcterms:modified xmlns:dcterms="http://purl.org/dc/terms/" xmlns:xsi="http://www.w3.org/2001/XMLSchema-instance" xsi:type="dcterms:W3CDTF">2026-07-13T10:00:18Z</dcterms:modified>
</cp:coreProperties>
</file>