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Cover" sheetId="1" state="visible" r:id="rId1"/>
    <sheet xmlns:r="http://schemas.openxmlformats.org/officeDocument/2006/relationships" name="2_Assumptions" sheetId="2" state="visible" r:id="rId2"/>
    <sheet xmlns:r="http://schemas.openxmlformats.org/officeDocument/2006/relationships" name="3_Purchase_Price" sheetId="3" state="visible" r:id="rId3"/>
    <sheet xmlns:r="http://schemas.openxmlformats.org/officeDocument/2006/relationships" name="4_Sources_Uses" sheetId="4" state="visible" r:id="rId4"/>
    <sheet xmlns:r="http://schemas.openxmlformats.org/officeDocument/2006/relationships" name="5_Historical_Fin" sheetId="5" state="visible" r:id="rId5"/>
    <sheet xmlns:r="http://schemas.openxmlformats.org/officeDocument/2006/relationships" name="6_Projections" sheetId="6" state="visible" r:id="rId6"/>
    <sheet xmlns:r="http://schemas.openxmlformats.org/officeDocument/2006/relationships" name="7_Debt_Schedule" sheetId="7" state="visible" r:id="rId7"/>
    <sheet xmlns:r="http://schemas.openxmlformats.org/officeDocument/2006/relationships" name="8_Returns" sheetId="8" state="visible" r:id="rId8"/>
    <sheet xmlns:r="http://schemas.openxmlformats.org/officeDocument/2006/relationships" name="9_Sensitivity" sheetId="9" state="visible" r:id="rId9"/>
    <sheet xmlns:r="http://schemas.openxmlformats.org/officeDocument/2006/relationships" name="10_Comparables" sheetId="10" state="visible" r:id="rId10"/>
    <sheet xmlns:r="http://schemas.openxmlformats.org/officeDocument/2006/relationships" name="11_WACC_Reference" sheetId="11" state="visible" r:id="rId11"/>
    <sheet xmlns:r="http://schemas.openxmlformats.org/officeDocument/2006/relationships" name="12_Print_Cover" sheetId="12" state="visible" r:id="rId12"/>
  </sheets>
  <definedNames/>
  <calcPr calcId="124519" calcMode="auto" fullCalcOnLoad="1" iterate="1" iterateCount="100" iterateDelta="0.001" calcCompleted="0"/>
</workbook>
</file>

<file path=xl/styles.xml><?xml version="1.0" encoding="utf-8"?>
<styleSheet xmlns="http://schemas.openxmlformats.org/spreadsheetml/2006/main">
  <numFmts count="8">
    <numFmt numFmtId="164" formatCode="#,##0.000"/>
    <numFmt numFmtId="165" formatCode="0.0"/>
    <numFmt numFmtId="166" formatCode="0.0%"/>
    <numFmt numFmtId="167" formatCode="0.00&quot;x&quot;"/>
    <numFmt numFmtId="168" formatCode="0.0&quot;x&quot;"/>
    <numFmt numFmtId="169" formatCode="£#,##0.00"/>
    <numFmt numFmtId="170" formatCode="£#,##0&quot;M&quot;"/>
    <numFmt numFmtId="171" formatCode="#,##0;(#,##0)"/>
  </numFmts>
  <fonts count="26">
    <font>
      <name val="Calibri"/>
      <family val="2"/>
      <color theme="1"/>
      <sz val="11"/>
      <scheme val="minor"/>
    </font>
    <font>
      <name val="Calibri"/>
      <b val="1"/>
      <color rgb="00C89000"/>
      <sz val="12"/>
    </font>
    <font>
      <name val="Calibri"/>
      <b val="1"/>
      <color rgb="00C89000"/>
      <sz val="9"/>
    </font>
    <font>
      <name val="Georgia"/>
      <b val="1"/>
      <color rgb="000D2747"/>
      <sz val="14"/>
    </font>
    <font>
      <name val="Georgia"/>
      <b val="1"/>
      <color rgb="000D2747"/>
      <sz val="22"/>
    </font>
    <font>
      <name val="Calibri"/>
      <i val="1"/>
      <color rgb="00666666"/>
      <sz val="11"/>
    </font>
    <font>
      <name val="Calibri"/>
      <b val="1"/>
      <color rgb="000D2747"/>
      <sz val="12"/>
    </font>
    <font>
      <name val="Calibri"/>
      <color rgb="000D2747"/>
      <sz val="10"/>
    </font>
    <font>
      <name val="Calibri"/>
      <b val="1"/>
      <color rgb="000D2747"/>
      <sz val="11"/>
    </font>
    <font>
      <name val="Calibri"/>
      <color rgb="00333333"/>
      <sz val="9.5"/>
    </font>
    <font>
      <name val="Calibri"/>
      <i val="1"/>
      <color rgb="00666666"/>
      <sz val="8.5"/>
    </font>
    <font>
      <name val="Calibri"/>
      <i val="1"/>
      <color rgb="00666666"/>
      <sz val="9.5"/>
    </font>
    <font>
      <name val="Calibri"/>
      <b val="1"/>
      <color rgb="00FFFFFF"/>
      <sz val="11"/>
    </font>
    <font>
      <name val="Calibri"/>
      <color rgb="00000000"/>
      <sz val="10"/>
    </font>
    <font>
      <name val="Calibri"/>
      <color rgb="000068FF"/>
      <sz val="10"/>
    </font>
    <font>
      <name val="Calibri"/>
      <b val="1"/>
      <color rgb="00FFFFFF"/>
      <sz val="10"/>
    </font>
    <font>
      <name val="Calibri"/>
      <color rgb="00006100"/>
      <sz val="10"/>
    </font>
    <font>
      <name val="Calibri"/>
      <b val="1"/>
      <color rgb="00000000"/>
      <sz val="10"/>
    </font>
    <font>
      <name val="Calibri"/>
      <color rgb="00666666"/>
      <sz val="9"/>
    </font>
    <font>
      <name val="Calibri"/>
      <b val="1"/>
      <color rgb="00C00000"/>
      <sz val="10"/>
    </font>
    <font>
      <name val="Calibri"/>
      <color rgb="00000000"/>
      <sz val="9"/>
    </font>
    <font>
      <name val="Calibri"/>
      <i val="1"/>
      <color rgb="00666666"/>
      <sz val="9"/>
    </font>
    <font/>
    <font>
      <b val="1"/>
      <color rgb="00FFFFFF"/>
      <sz val="10"/>
    </font>
    <font>
      <b val="1"/>
      <color rgb="00C00000"/>
    </font>
    <font>
      <name val="Calibri"/>
      <b val="1"/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0D2747"/>
      </patternFill>
    </fill>
    <fill>
      <patternFill patternType="solid">
        <fgColor rgb="00E8F1FF"/>
      </patternFill>
    </fill>
    <fill>
      <patternFill patternType="solid">
        <fgColor rgb="00FFE8B0"/>
      </patternFill>
    </fill>
  </fills>
  <borders count="3">
    <border>
      <left/>
      <right/>
      <top/>
      <bottom/>
      <diagonal/>
    </border>
    <border>
      <left style="thin">
        <color rgb="00C89000"/>
      </left>
      <right style="thin">
        <color rgb="00C89000"/>
      </right>
      <top style="thin">
        <color rgb="00C89000"/>
      </top>
      <bottom style="thin">
        <color rgb="00C89000"/>
      </bottom>
    </border>
    <border/>
  </borders>
  <cellStyleXfs count="1">
    <xf numFmtId="0" fontId="0" fillId="0" borderId="0"/>
  </cellStyleXfs>
  <cellXfs count="7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/>
    </xf>
    <xf numFmtId="2" fontId="14" fillId="3" borderId="0" applyAlignment="1" pivotButton="0" quotePrefix="0" xfId="0">
      <alignment horizontal="right"/>
    </xf>
    <xf numFmtId="164" fontId="14" fillId="3" borderId="0" applyAlignment="1" pivotButton="0" quotePrefix="0" xfId="0">
      <alignment horizontal="right"/>
    </xf>
    <xf numFmtId="3" fontId="14" fillId="3" borderId="0" applyAlignment="1" pivotButton="0" quotePrefix="0" xfId="0">
      <alignment horizontal="right"/>
    </xf>
    <xf numFmtId="165" fontId="14" fillId="3" borderId="0" applyAlignment="1" pivotButton="0" quotePrefix="0" xfId="0">
      <alignment horizontal="right"/>
    </xf>
    <xf numFmtId="1" fontId="14" fillId="3" borderId="0" applyAlignment="1" pivotButton="0" quotePrefix="0" xfId="0">
      <alignment horizontal="right"/>
    </xf>
    <xf numFmtId="0" fontId="15" fillId="2" borderId="0" applyAlignment="1" pivotButton="0" quotePrefix="0" xfId="0">
      <alignment horizontal="right" vertical="center"/>
    </xf>
    <xf numFmtId="164" fontId="16" fillId="0" borderId="0" applyAlignment="1" pivotButton="0" quotePrefix="0" xfId="0">
      <alignment horizontal="right"/>
    </xf>
    <xf numFmtId="2" fontId="16" fillId="0" borderId="0" applyAlignment="1" pivotButton="0" quotePrefix="0" xfId="0">
      <alignment horizontal="right"/>
    </xf>
    <xf numFmtId="3" fontId="13" fillId="0" borderId="0" applyAlignment="1" pivotButton="0" quotePrefix="0" xfId="0">
      <alignment horizontal="right"/>
    </xf>
    <xf numFmtId="0" fontId="17" fillId="0" borderId="0" applyAlignment="1" pivotButton="0" quotePrefix="0" xfId="0">
      <alignment horizontal="left" vertical="center"/>
    </xf>
    <xf numFmtId="164" fontId="17" fillId="4" borderId="1" applyAlignment="1" pivotButton="0" quotePrefix="0" xfId="0">
      <alignment horizontal="right"/>
    </xf>
    <xf numFmtId="3" fontId="17" fillId="4" borderId="1" applyAlignment="1" pivotButton="0" quotePrefix="0" xfId="0">
      <alignment horizontal="right"/>
    </xf>
    <xf numFmtId="166" fontId="17" fillId="4" borderId="1" applyAlignment="1" pivotButton="0" quotePrefix="0" xfId="0">
      <alignment horizontal="right"/>
    </xf>
    <xf numFmtId="3" fontId="16" fillId="0" borderId="0" applyAlignment="1" pivotButton="0" quotePrefix="0" xfId="0">
      <alignment horizontal="right"/>
    </xf>
    <xf numFmtId="167" fontId="17" fillId="4" borderId="1" applyAlignment="1" pivotButton="0" quotePrefix="0" xfId="0">
      <alignment horizontal="right"/>
    </xf>
    <xf numFmtId="0" fontId="18" fillId="0" borderId="0" applyAlignment="1" pivotButton="0" quotePrefix="0" xfId="0">
      <alignment horizontal="left" vertical="center"/>
    </xf>
    <xf numFmtId="0" fontId="19" fillId="0" borderId="0" applyAlignment="1" pivotButton="0" quotePrefix="0" xfId="0">
      <alignment horizontal="left" vertical="center"/>
    </xf>
    <xf numFmtId="3" fontId="19" fillId="0" borderId="0" applyAlignment="1" pivotButton="0" quotePrefix="0" xfId="0">
      <alignment horizontal="right"/>
    </xf>
    <xf numFmtId="166" fontId="13" fillId="0" borderId="0" applyAlignment="1" pivotButton="0" quotePrefix="0" xfId="0">
      <alignment horizontal="right"/>
    </xf>
    <xf numFmtId="9" fontId="16" fillId="0" borderId="0" applyAlignment="1" pivotButton="0" quotePrefix="0" xfId="0">
      <alignment horizontal="right"/>
    </xf>
    <xf numFmtId="167" fontId="13" fillId="0" borderId="0" applyAlignment="1" pivotButton="0" quotePrefix="0" xfId="0">
      <alignment horizontal="right"/>
    </xf>
    <xf numFmtId="167" fontId="16" fillId="0" borderId="0" applyAlignment="1" pivotButton="0" quotePrefix="0" xfId="0">
      <alignment horizontal="right"/>
    </xf>
    <xf numFmtId="9" fontId="14" fillId="3" borderId="0" applyAlignment="1" pivotButton="0" quotePrefix="0" xfId="0">
      <alignment horizontal="right"/>
    </xf>
    <xf numFmtId="1" fontId="16" fillId="0" borderId="0" applyAlignment="1" pivotButton="0" quotePrefix="0" xfId="0">
      <alignment horizontal="right"/>
    </xf>
    <xf numFmtId="168" fontId="17" fillId="4" borderId="1" applyAlignment="1" pivotButton="0" quotePrefix="0" xfId="0">
      <alignment horizontal="right"/>
    </xf>
    <xf numFmtId="0" fontId="20" fillId="0" borderId="0" applyAlignment="1" pivotButton="0" quotePrefix="0" xfId="0">
      <alignment horizontal="left" vertical="center"/>
    </xf>
    <xf numFmtId="10" fontId="14" fillId="3" borderId="0" applyAlignment="1" pivotButton="0" quotePrefix="0" xfId="0">
      <alignment horizontal="right"/>
    </xf>
    <xf numFmtId="10" fontId="17" fillId="4" borderId="1" applyAlignment="1" pivotButton="0" quotePrefix="0" xfId="0">
      <alignment horizontal="right"/>
    </xf>
    <xf numFmtId="10" fontId="16" fillId="0" borderId="0" applyAlignment="1" pivotButton="0" quotePrefix="0" xfId="0">
      <alignment horizontal="right"/>
    </xf>
    <xf numFmtId="10" fontId="13" fillId="0" borderId="0" applyAlignment="1" pivotButton="0" quotePrefix="0" xfId="0">
      <alignment horizontal="right"/>
    </xf>
    <xf numFmtId="169" fontId="16" fillId="0" borderId="0" applyAlignment="1" pivotButton="0" quotePrefix="0" xfId="0">
      <alignment horizontal="right"/>
    </xf>
    <xf numFmtId="170" fontId="16" fillId="0" borderId="0" applyAlignment="1" pivotButton="0" quotePrefix="0" xfId="0">
      <alignment horizontal="right"/>
    </xf>
    <xf numFmtId="166" fontId="16" fillId="0" borderId="0" applyAlignment="1" pivotButton="0" quotePrefix="0" xfId="0">
      <alignment horizontal="right"/>
    </xf>
    <xf numFmtId="0" fontId="21" fillId="0" borderId="0" applyAlignment="1" pivotButton="0" quotePrefix="0" xfId="0">
      <alignment vertical="top" wrapText="1"/>
    </xf>
    <xf numFmtId="3" fontId="14" fillId="3" borderId="1" applyAlignment="1" pivotButton="0" quotePrefix="0" xfId="0">
      <alignment horizontal="right"/>
    </xf>
    <xf numFmtId="171" fontId="14" fillId="3" borderId="0" applyAlignment="1" pivotButton="0" quotePrefix="0" xfId="0">
      <alignment horizontal="right"/>
    </xf>
    <xf numFmtId="171" fontId="13" fillId="0" borderId="0" applyAlignment="1" pivotButton="0" quotePrefix="0" xfId="0">
      <alignment horizontal="right"/>
    </xf>
    <xf numFmtId="171" fontId="17" fillId="4" borderId="1" applyAlignment="1" pivotButton="0" quotePrefix="0" xfId="0">
      <alignment horizontal="right"/>
    </xf>
    <xf numFmtId="169" fontId="13" fillId="0" borderId="0" applyAlignment="1" pivotButton="0" quotePrefix="0" xfId="0">
      <alignment horizontal="right"/>
    </xf>
    <xf numFmtId="170" fontId="13" fillId="0" borderId="0" applyAlignment="1" pivotButton="0" quotePrefix="0" xfId="0">
      <alignment horizontal="right"/>
    </xf>
    <xf numFmtId="3" fontId="16" fillId="3" borderId="0" applyAlignment="1" pivotButton="0" quotePrefix="0" xfId="0">
      <alignment horizontal="right"/>
    </xf>
    <xf numFmtId="3" fontId="13" fillId="3" borderId="0" applyAlignment="1" pivotButton="0" quotePrefix="0" xfId="0">
      <alignment horizontal="right"/>
    </xf>
    <xf numFmtId="171" fontId="16" fillId="3" borderId="0" applyAlignment="1" pivotButton="0" quotePrefix="0" xfId="0">
      <alignment horizontal="right"/>
    </xf>
    <xf numFmtId="171" fontId="13" fillId="3" borderId="0" applyAlignment="1" pivotButton="0" quotePrefix="0" xfId="0">
      <alignment horizontal="right"/>
    </xf>
    <xf numFmtId="0" fontId="12" fillId="2" borderId="2" applyAlignment="1" pivotButton="0" quotePrefix="0" xfId="0">
      <alignment horizontal="left" vertical="center" indent="1"/>
    </xf>
    <xf numFmtId="0" fontId="22" fillId="0" borderId="2" pivotButton="0" quotePrefix="0" xfId="0"/>
    <xf numFmtId="0" fontId="23" fillId="2" borderId="2" applyAlignment="1" pivotButton="0" quotePrefix="0" xfId="0">
      <alignment horizontal="right"/>
    </xf>
    <xf numFmtId="0" fontId="13" fillId="0" borderId="2" applyAlignment="1" pivotButton="0" quotePrefix="0" xfId="0">
      <alignment horizontal="left" vertical="center"/>
    </xf>
    <xf numFmtId="3" fontId="16" fillId="0" borderId="2" applyAlignment="1" pivotButton="0" quotePrefix="0" xfId="0">
      <alignment horizontal="right"/>
    </xf>
    <xf numFmtId="0" fontId="21" fillId="0" borderId="2" applyAlignment="1" pivotButton="0" quotePrefix="0" xfId="0">
      <alignment horizontal="left" vertical="center"/>
    </xf>
    <xf numFmtId="3" fontId="13" fillId="0" borderId="2" applyAlignment="1" pivotButton="0" quotePrefix="0" xfId="0">
      <alignment horizontal="right"/>
    </xf>
    <xf numFmtId="0" fontId="17" fillId="0" borderId="2" applyAlignment="1" pivotButton="0" quotePrefix="0" xfId="0">
      <alignment horizontal="left" vertical="center"/>
    </xf>
    <xf numFmtId="3" fontId="22" fillId="0" borderId="2" pivotButton="0" quotePrefix="0" xfId="0"/>
    <xf numFmtId="0" fontId="24" fillId="0" borderId="2" applyAlignment="1" pivotButton="0" quotePrefix="0" xfId="0">
      <alignment horizontal="left" vertical="center"/>
    </xf>
    <xf numFmtId="3" fontId="19" fillId="0" borderId="2" applyAlignment="1" pivotButton="0" quotePrefix="0" xfId="0">
      <alignment horizontal="right"/>
    </xf>
    <xf numFmtId="171" fontId="21" fillId="0" borderId="0" applyAlignment="1" pivotButton="0" quotePrefix="0" xfId="0">
      <alignment horizontal="right"/>
    </xf>
    <xf numFmtId="171" fontId="25" fillId="0" borderId="0" applyAlignment="1" pivotButton="0" quotePrefix="0" xfId="0">
      <alignment horizontal="right"/>
    </xf>
    <xf numFmtId="0" fontId="13" fillId="0" borderId="0" applyAlignment="1" pivotButton="0" quotePrefix="0" xfId="0">
      <alignment horizontal="left"/>
    </xf>
    <xf numFmtId="0" fontId="17" fillId="0" borderId="0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3:B3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0" customWidth="1" min="2" max="2"/>
  </cols>
  <sheetData>
    <row r="3">
      <c r="B3" s="1" t="inlineStr">
        <is>
          <t>THE BARATELLI INSTITUTE</t>
        </is>
      </c>
    </row>
    <row r="4">
      <c r="B4" s="2" t="inlineStr">
        <is>
          <t>MENTORING AT SCALE</t>
        </is>
      </c>
    </row>
    <row r="7">
      <c r="B7" s="3" t="inlineStr">
        <is>
          <t>PRACTITIONER CASE MODEL</t>
        </is>
      </c>
    </row>
    <row r="9">
      <c r="B9" s="4" t="inlineStr">
        <is>
          <t>Apollo's £5.7 Billion Take-Private Bid for easyJet</t>
        </is>
      </c>
    </row>
    <row r="11">
      <c r="B11" s="5" t="inlineStr">
        <is>
          <t>Case No. 26  •  Rule 2.4 announcement 10 July 2026  •  Model v2 (corrected reference map)</t>
        </is>
      </c>
    </row>
    <row r="14">
      <c r="B14" s="6" t="inlineStr">
        <is>
          <t>MODEL CONTENTS</t>
        </is>
      </c>
    </row>
    <row r="15">
      <c r="B15" s="7" t="inlineStr">
        <is>
          <t>Tab 1  Cover  —  This page</t>
        </is>
      </c>
    </row>
    <row r="16">
      <c r="B16" s="7" t="inlineStr">
        <is>
          <t>Tab 2  Assumptions  —  All inputs at fixed cell addresses. Blue = input. Green = cross-sheet ref.</t>
        </is>
      </c>
    </row>
    <row r="17">
      <c r="B17" s="7" t="inlineStr">
        <is>
          <t>Tab 3  Purchase Price  —  Fully diluted equity value + premium analysis</t>
        </is>
      </c>
    </row>
    <row r="18">
      <c r="B18" s="7" t="inlineStr">
        <is>
          <t>Tab 4  Sources &amp; Uses  —  Illustrative sponsor capital structure</t>
        </is>
      </c>
    </row>
    <row r="19">
      <c r="B19" s="7" t="inlineStr">
        <is>
          <t>Tab 5  Historical Financials  —  FY23-FY25 IS + KPIs + H1'26 + Q3'26 snapshot</t>
        </is>
      </c>
    </row>
    <row r="20">
      <c r="B20" s="7" t="inlineStr">
        <is>
          <t>Tab 6  Projections  —  FY26E-FY30E five-year forecast</t>
        </is>
      </c>
    </row>
    <row r="21">
      <c r="B21" s="7" t="inlineStr">
        <is>
          <t>Tab 7  Debt Schedule  —  Tranche paydown + sweep + interest</t>
        </is>
      </c>
    </row>
    <row r="22">
      <c r="B22" s="7" t="inlineStr">
        <is>
          <t>Tab 8  Returns Waterfall  —  MOIC / IRR for 5-year hold</t>
        </is>
      </c>
    </row>
    <row r="23">
      <c r="B23" s="7" t="inlineStr">
        <is>
          <t>Tab 9  Sensitivity  —  MOIC/IRR × exit multiple × ambition landing</t>
        </is>
      </c>
    </row>
    <row r="24">
      <c r="B24" s="7" t="inlineStr">
        <is>
          <t>Tab 10 Comparables  —  Airline sponsor precedents</t>
        </is>
      </c>
    </row>
    <row r="25">
      <c r="B25" s="7" t="inlineStr">
        <is>
          <t>Tab 11 WACC Reference  —  Cost of capital cross-check</t>
        </is>
      </c>
    </row>
    <row r="26">
      <c r="B26" s="7" t="inlineStr">
        <is>
          <t>Tab 12 Print Cover  —  One-page summary</t>
        </is>
      </c>
    </row>
    <row r="29">
      <c r="B29" s="8" t="inlineStr">
        <is>
          <t>COLOUR CONVENTION</t>
        </is>
      </c>
    </row>
    <row r="30">
      <c r="B30" s="9" t="inlineStr">
        <is>
          <t xml:space="preserve">  Blue on light blue fill = Hard-coded input</t>
        </is>
      </c>
    </row>
    <row r="31">
      <c r="B31" s="9" t="inlineStr">
        <is>
          <t xml:space="preserve">  Black = In-cell formula</t>
        </is>
      </c>
    </row>
    <row r="32">
      <c r="B32" s="9" t="inlineStr">
        <is>
          <t xml:space="preserve">  Green = Cross-sheet reference</t>
        </is>
      </c>
    </row>
    <row r="33">
      <c r="B33" s="9" t="inlineStr">
        <is>
          <t xml:space="preserve">  Red = Balancing check (should equal zero)</t>
        </is>
      </c>
    </row>
    <row r="34">
      <c r="B34" s="9" t="inlineStr">
        <is>
          <t xml:space="preserve">  Bold on gold fill = Key output</t>
        </is>
      </c>
    </row>
    <row r="35">
      <c r="B35" s="9" t="inlineStr">
        <is>
          <t xml:space="preserve">  White on navy fill = Section header</t>
        </is>
      </c>
    </row>
    <row r="38">
      <c r="B38" s="10" t="inlineStr">
        <is>
          <t>Not investment advice. Research and educational reference. © 2026 The Baratelli Institute.</t>
        </is>
      </c>
    </row>
  </sheetData>
  <printOptions horizontalCentered="1"/>
  <pageMargins left="0.4" right="0.4" top="0.5" bottom="0.4" header="0.5" footer="0.5"/>
  <pageSetup orientation="landscape" paperSize="9" fitToHeight="1" fitToWidth="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2:F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24" customWidth="1" min="3" max="3"/>
    <col width="10" customWidth="1" min="4" max="4"/>
    <col width="12" customWidth="1" min="5" max="5"/>
    <col width="34" customWidth="1" min="6" max="6"/>
  </cols>
  <sheetData>
    <row r="2">
      <c r="B2" s="3" t="inlineStr">
        <is>
          <t>COMPARABLE AIRLINE TAKE-PRIVATES</t>
        </is>
      </c>
    </row>
    <row r="4" ht="22" customHeight="1">
      <c r="A4" s="12" t="inlineStr">
        <is>
          <t>SPONSOR / STRATEGIC EUROPEAN AIRLINE DEALS</t>
        </is>
      </c>
    </row>
    <row r="5">
      <c r="B5" s="19" t="inlineStr">
        <is>
          <t>Target</t>
        </is>
      </c>
      <c r="C5" s="19" t="inlineStr">
        <is>
          <t>Sponsor/Acquirer</t>
        </is>
      </c>
      <c r="D5" s="19" t="inlineStr">
        <is>
          <t>Year</t>
        </is>
      </c>
      <c r="E5" s="19" t="inlineStr">
        <is>
          <t>EV</t>
        </is>
      </c>
      <c r="F5" s="19" t="inlineStr">
        <is>
          <t>Outcome</t>
        </is>
      </c>
    </row>
    <row r="6">
      <c r="B6" s="13" t="inlineStr">
        <is>
          <t>Virgin Atlantic (49%)</t>
        </is>
      </c>
      <c r="C6" s="13" t="inlineStr">
        <is>
          <t>Delta Air Lines</t>
        </is>
      </c>
      <c r="D6" s="13" t="inlineStr">
        <is>
          <t>2013</t>
        </is>
      </c>
      <c r="E6" s="13" t="inlineStr">
        <is>
          <t>£224M</t>
        </is>
      </c>
      <c r="F6" s="39" t="inlineStr">
        <is>
          <t>Strategic minority; partnership</t>
        </is>
      </c>
    </row>
    <row r="7">
      <c r="B7" s="13" t="inlineStr">
        <is>
          <t>Alitalia</t>
        </is>
      </c>
      <c r="C7" s="13" t="inlineStr">
        <is>
          <t>Etihad + Italian consortium</t>
        </is>
      </c>
      <c r="D7" s="13" t="inlineStr">
        <is>
          <t>2014</t>
        </is>
      </c>
      <c r="E7" s="13" t="inlineStr">
        <is>
          <t>€560M</t>
        </is>
      </c>
      <c r="F7" s="39" t="inlineStr">
        <is>
          <t>Bankruptcy 2017 → ITA</t>
        </is>
      </c>
    </row>
    <row r="8">
      <c r="B8" s="13" t="inlineStr">
        <is>
          <t>Aer Lingus</t>
        </is>
      </c>
      <c r="C8" s="13" t="inlineStr">
        <is>
          <t>IAG (strategic)</t>
        </is>
      </c>
      <c r="D8" s="13" t="inlineStr">
        <is>
          <t>2015</t>
        </is>
      </c>
      <c r="E8" s="13" t="inlineStr">
        <is>
          <t>€1.4B</t>
        </is>
      </c>
      <c r="F8" s="39" t="inlineStr">
        <is>
          <t>Integrated; Ryanair sold minority</t>
        </is>
      </c>
    </row>
    <row r="9">
      <c r="B9" s="13" t="inlineStr">
        <is>
          <t>Monarch Airlines</t>
        </is>
      </c>
      <c r="C9" s="13" t="inlineStr">
        <is>
          <t>Greybull Capital</t>
        </is>
      </c>
      <c r="D9" s="13" t="inlineStr">
        <is>
          <t>2014</t>
        </is>
      </c>
      <c r="E9" s="13" t="inlineStr">
        <is>
          <t>£125M</t>
        </is>
      </c>
      <c r="F9" s="39" t="inlineStr">
        <is>
          <t>Bankruptcy 2017</t>
        </is>
      </c>
    </row>
    <row r="10">
      <c r="B10" s="13" t="inlineStr">
        <is>
          <t>Norwegian Air</t>
        </is>
      </c>
      <c r="C10" s="13" t="inlineStr">
        <is>
          <t>Ch. 11 equivalent</t>
        </is>
      </c>
      <c r="D10" s="13" t="inlineStr">
        <is>
          <t>2021</t>
        </is>
      </c>
      <c r="E10" s="13" t="inlineStr">
        <is>
          <t>n/a</t>
        </is>
      </c>
      <c r="F10" s="39" t="inlineStr">
        <is>
          <t>Debt-for-equity</t>
        </is>
      </c>
    </row>
    <row r="11">
      <c r="B11" s="13" t="inlineStr">
        <is>
          <t>Wizz Air (Indigo)</t>
        </is>
      </c>
      <c r="C11" s="13" t="inlineStr">
        <is>
          <t>Indigo Partners</t>
        </is>
      </c>
      <c r="D11" s="13" t="inlineStr">
        <is>
          <t>2003-15</t>
        </is>
      </c>
      <c r="E11" s="13" t="inlineStr">
        <is>
          <t>~$300M</t>
        </is>
      </c>
      <c r="F11" s="39" t="inlineStr">
        <is>
          <t>LSE IPO 2015; ~8x MOIC</t>
        </is>
      </c>
    </row>
    <row r="12">
      <c r="B12" s="13" t="inlineStr">
        <is>
          <t>Sun Country</t>
        </is>
      </c>
      <c r="C12" s="13" t="inlineStr">
        <is>
          <t>Apollo Fund IX</t>
        </is>
      </c>
      <c r="D12" s="13" t="inlineStr">
        <is>
          <t>2018-21</t>
        </is>
      </c>
      <c r="E12" s="13" t="inlineStr">
        <is>
          <t>$350M</t>
        </is>
      </c>
      <c r="F12" s="39" t="inlineStr">
        <is>
          <t>IPO 2021; ~4x MOIC</t>
        </is>
      </c>
    </row>
    <row r="13">
      <c r="B13" s="13" t="inlineStr">
        <is>
          <t>Frontier Airlines</t>
        </is>
      </c>
      <c r="C13" s="13" t="inlineStr">
        <is>
          <t>Indigo Partners</t>
        </is>
      </c>
      <c r="D13" s="13" t="inlineStr">
        <is>
          <t>2013-21</t>
        </is>
      </c>
      <c r="E13" s="13" t="inlineStr">
        <is>
          <t>$145M</t>
        </is>
      </c>
      <c r="F13" s="39" t="inlineStr">
        <is>
          <t>IPO April 2021</t>
        </is>
      </c>
    </row>
    <row r="14">
      <c r="B14" s="13" t="inlineStr">
        <is>
          <t>Silver Airways</t>
        </is>
      </c>
      <c r="C14" s="13" t="inlineStr">
        <is>
          <t>Versa Capital</t>
        </is>
      </c>
      <c r="D14" s="13" t="inlineStr">
        <is>
          <t>2018</t>
        </is>
      </c>
      <c r="E14" s="13" t="inlineStr">
        <is>
          <t>$36M</t>
        </is>
      </c>
      <c r="F14" s="39" t="inlineStr">
        <is>
          <t>Ch. 11 Dec 2024</t>
        </is>
      </c>
    </row>
  </sheetData>
  <mergeCells count="1">
    <mergeCell ref="A4:F4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2:D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4" customWidth="1" min="2" max="2"/>
    <col width="14" customWidth="1" min="3" max="3"/>
    <col width="24" customWidth="1" min="4" max="4"/>
  </cols>
  <sheetData>
    <row r="2">
      <c r="B2" s="3" t="inlineStr">
        <is>
          <t>WACC REFERENCE — COST OF CAPITAL</t>
        </is>
      </c>
    </row>
    <row r="5" ht="22" customHeight="1">
      <c r="A5" s="12" t="inlineStr">
        <is>
          <t>CAPM COST OF EQUITY</t>
        </is>
      </c>
    </row>
    <row r="6">
      <c r="B6" s="13" t="inlineStr">
        <is>
          <t>Risk-free rate (UK 10-yr gilt)</t>
        </is>
      </c>
      <c r="C6" s="40" t="n">
        <v>0.043</v>
      </c>
    </row>
    <row r="7">
      <c r="B7" s="13" t="inlineStr">
        <is>
          <t>Equity risk premium</t>
        </is>
      </c>
      <c r="C7" s="40" t="n">
        <v>0.055</v>
      </c>
    </row>
    <row r="8">
      <c r="B8" s="13" t="inlineStr">
        <is>
          <t>Levered beta (airline peer avg)</t>
        </is>
      </c>
      <c r="C8" s="14" t="n">
        <v>1.45</v>
      </c>
    </row>
    <row r="9">
      <c r="B9" s="23" t="inlineStr">
        <is>
          <t>CAPM cost of equity</t>
        </is>
      </c>
      <c r="C9" s="41">
        <f>C6+C8*C7</f>
        <v/>
      </c>
    </row>
    <row r="11" ht="22" customHeight="1">
      <c r="A11" s="12" t="inlineStr">
        <is>
          <t>AFTER-TAX COST OF DEBT (BLENDED)</t>
        </is>
      </c>
    </row>
    <row r="12">
      <c r="B12" s="13" t="inlineStr">
        <is>
          <t>Term loan pre-tax</t>
        </is>
      </c>
      <c r="C12" s="42">
        <f>'2_Assumptions'!C57/100</f>
        <v/>
      </c>
    </row>
    <row r="13">
      <c r="B13" s="13" t="inlineStr">
        <is>
          <t>HY notes pre-tax</t>
        </is>
      </c>
      <c r="C13" s="42">
        <f>'2_Assumptions'!C59/100</f>
        <v/>
      </c>
    </row>
    <row r="14">
      <c r="B14" s="13" t="inlineStr">
        <is>
          <t>Blended pre-tax cost of debt</t>
        </is>
      </c>
      <c r="C14" s="43">
        <f>(C12*'2_Assumptions'!C56+C13*'2_Assumptions'!C58)/('2_Assumptions'!C56+'2_Assumptions'!C58)</f>
        <v/>
      </c>
    </row>
    <row r="15">
      <c r="B15" s="23" t="inlineStr">
        <is>
          <t>After-tax cost of debt</t>
        </is>
      </c>
      <c r="C15" s="41">
        <f>C14*(1-'2_Assumptions'!C69/100)</f>
        <v/>
      </c>
    </row>
    <row r="17" ht="22" customHeight="1">
      <c r="A17" s="12" t="inlineStr">
        <is>
          <t>POST-LBO WACC</t>
        </is>
      </c>
    </row>
    <row r="18">
      <c r="B18" s="13" t="inlineStr">
        <is>
          <t>Debt weight</t>
        </is>
      </c>
      <c r="C18" s="32">
        <f>('2_Assumptions'!C56+'2_Assumptions'!C58)/('2_Assumptions'!C56+'2_Assumptions'!C58+'2_Assumptions'!C60+'4_Sources_Uses'!C19)</f>
        <v/>
      </c>
    </row>
    <row r="19">
      <c r="B19" s="13" t="inlineStr">
        <is>
          <t>Equity weight</t>
        </is>
      </c>
      <c r="C19" s="32">
        <f>1-C18</f>
        <v/>
      </c>
    </row>
    <row r="20">
      <c r="B20" s="23" t="inlineStr">
        <is>
          <t>Blended WACC</t>
        </is>
      </c>
      <c r="C20" s="41">
        <f>C18*C15+C19*C9</f>
        <v/>
      </c>
    </row>
  </sheetData>
  <mergeCells count="3">
    <mergeCell ref="A5:D5"/>
    <mergeCell ref="A17:D17"/>
    <mergeCell ref="A11:D11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2:C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0" customWidth="1" min="2" max="2"/>
    <col width="14" customWidth="1" min="3" max="3"/>
  </cols>
  <sheetData>
    <row r="2">
      <c r="B2" s="3" t="inlineStr">
        <is>
          <t>APOLLO / EASYJET LBO — ONE-PAGE SUMMARY</t>
        </is>
      </c>
    </row>
    <row r="4" ht="22" customHeight="1">
      <c r="A4" s="12" t="inlineStr">
        <is>
          <t>TRANSACTION</t>
        </is>
      </c>
    </row>
    <row r="5">
      <c r="B5" s="13" t="inlineStr">
        <is>
          <t xml:space="preserve">  Cash offer per share</t>
        </is>
      </c>
      <c r="C5" s="52">
        <f>'2_Assumptions'!C6</f>
        <v/>
      </c>
    </row>
    <row r="6">
      <c r="B6" s="13" t="inlineStr">
        <is>
          <t xml:space="preserve">  Fully diluted equity value</t>
        </is>
      </c>
      <c r="C6" s="53">
        <f>'3_Purchase_Price'!E9</f>
        <v/>
      </c>
    </row>
    <row r="7">
      <c r="B7" s="13" t="inlineStr">
        <is>
          <t xml:space="preserve">  Enterprise value (lease-adjusted)</t>
        </is>
      </c>
      <c r="C7" s="53">
        <f>'3_Purchase_Price'!E24</f>
        <v/>
      </c>
    </row>
    <row r="8">
      <c r="B8" s="13" t="inlineStr">
        <is>
          <t xml:space="preserve">  Premium to 28 May 2026 close</t>
        </is>
      </c>
      <c r="C8" s="32">
        <f>'3_Purchase_Price'!E13</f>
        <v/>
      </c>
    </row>
    <row r="10" ht="22" customHeight="1">
      <c r="A10" s="12" t="inlineStr">
        <is>
          <t>SPONSOR CAP STRUCTURE</t>
        </is>
      </c>
    </row>
    <row r="11">
      <c r="B11" s="13" t="inlineStr">
        <is>
          <t xml:space="preserve">  Sponsor equity check</t>
        </is>
      </c>
      <c r="C11" s="53">
        <f>'4_Sources_Uses'!C19</f>
        <v/>
      </c>
    </row>
    <row r="12">
      <c r="B12" s="13" t="inlineStr">
        <is>
          <t xml:space="preserve">  Aircraft-secured term loan</t>
        </is>
      </c>
      <c r="C12" s="53">
        <f>'4_Sources_Uses'!C16</f>
        <v/>
      </c>
    </row>
    <row r="13">
      <c r="B13" s="13" t="inlineStr">
        <is>
          <t xml:space="preserve">  High-yield senior notes</t>
        </is>
      </c>
      <c r="C13" s="53">
        <f>'4_Sources_Uses'!C17</f>
        <v/>
      </c>
    </row>
    <row r="14">
      <c r="B14" s="13" t="inlineStr">
        <is>
          <t xml:space="preserve">  Total debt / FY25 EBITDA</t>
        </is>
      </c>
      <c r="C14" s="34">
        <f>'4_Sources_Uses'!C32</f>
        <v/>
      </c>
    </row>
    <row r="16" ht="22" customHeight="1">
      <c r="A16" s="12" t="inlineStr">
        <is>
          <t>BASE-CASE RETURNS (75% land, 5.0x exit)</t>
        </is>
      </c>
    </row>
    <row r="17">
      <c r="B17" s="13" t="inlineStr">
        <is>
          <t xml:space="preserve">  MOIC</t>
        </is>
      </c>
      <c r="C17" s="34">
        <f>'8_Returns'!C18</f>
        <v/>
      </c>
    </row>
    <row r="18">
      <c r="B18" s="13" t="inlineStr">
        <is>
          <t xml:space="preserve">  IRR</t>
        </is>
      </c>
      <c r="C18" s="32">
        <f>'8_Returns'!C20</f>
        <v/>
      </c>
    </row>
    <row r="20" ht="40" customHeight="1">
      <c r="B20" s="47" t="inlineStr">
        <is>
          <t>Illustrative. Rule 2.4 announcement does not disclose actual financing terms. Actual terms will disclose at Rule 2.7 by 7 August 2026. Not investment advice.</t>
        </is>
      </c>
    </row>
  </sheetData>
  <mergeCells count="3">
    <mergeCell ref="A10:C10"/>
    <mergeCell ref="A4:C4"/>
    <mergeCell ref="A16:C16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D6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52" customWidth="1" min="2" max="2"/>
    <col width="14" customWidth="1" min="3" max="3"/>
    <col width="30" customWidth="1" min="4" max="4"/>
  </cols>
  <sheetData>
    <row r="2">
      <c r="B2" s="3" t="inlineStr">
        <is>
          <t>MODEL ASSUMPTIONS — FIXED REFERENCE MAP</t>
        </is>
      </c>
    </row>
    <row r="3">
      <c r="B3" s="11" t="inlineStr">
        <is>
          <t>Every input at a known cell. Downstream tabs reference these exact addresses.</t>
        </is>
      </c>
    </row>
    <row r="5" ht="22" customHeight="1">
      <c r="A5" s="12" t="inlineStr">
        <is>
          <t>TRANSACTION TERMS (Rule 2.4 announcement)</t>
        </is>
      </c>
    </row>
    <row r="6">
      <c r="B6" s="13" t="inlineStr">
        <is>
          <t>Cash offer per share (£)</t>
        </is>
      </c>
      <c r="C6" s="14" t="n">
        <v>7.15</v>
      </c>
      <c r="D6" s="10" t="inlineStr">
        <is>
          <t xml:space="preserve">  Rule 2.4</t>
        </is>
      </c>
    </row>
    <row r="7">
      <c r="B7" s="13" t="inlineStr">
        <is>
          <t>Ordinary shares in issue (M)</t>
        </is>
      </c>
      <c r="C7" s="15" t="n">
        <v>758.010025</v>
      </c>
      <c r="D7" s="10" t="inlineStr">
        <is>
          <t xml:space="preserve">  Para. 2</t>
        </is>
      </c>
    </row>
    <row r="8">
      <c r="B8" s="13" t="inlineStr">
        <is>
          <t>Dilutive incentive shares (M)</t>
        </is>
      </c>
      <c r="C8" s="15" t="n">
        <v>36.751387</v>
      </c>
      <c r="D8" s="10" t="inlineStr">
        <is>
          <t xml:space="preserve">  Para. 3b</t>
        </is>
      </c>
    </row>
    <row r="9">
      <c r="B9" s="13" t="inlineStr">
        <is>
          <t>Castlelake competing bid (£/share)</t>
        </is>
      </c>
      <c r="C9" s="14" t="n">
        <v>6.9</v>
      </c>
      <c r="D9" s="10" t="inlineStr">
        <is>
          <t xml:space="preserve">  4 July 2026</t>
        </is>
      </c>
    </row>
    <row r="10">
      <c r="B10" s="13" t="inlineStr">
        <is>
          <t>28 May 2026 close (£)</t>
        </is>
      </c>
      <c r="C10" s="14" t="n">
        <v>3.94</v>
      </c>
      <c r="D10" s="10" t="inlineStr">
        <is>
          <t xml:space="preserve">  Day before Castlelake</t>
        </is>
      </c>
    </row>
    <row r="11">
      <c r="B11" s="13" t="inlineStr">
        <is>
          <t>4-year high (£)</t>
        </is>
      </c>
      <c r="C11" s="14" t="n">
        <v>5.88</v>
      </c>
      <c r="D11" s="10" t="inlineStr">
        <is>
          <t xml:space="preserve">  Pre 28 May 2026</t>
        </is>
      </c>
    </row>
    <row r="12">
      <c r="B12" s="13" t="inlineStr">
        <is>
          <t>90-day VWAP to 28 May 2026 (£)</t>
        </is>
      </c>
      <c r="C12" s="14" t="n">
        <v>3.97</v>
      </c>
      <c r="D12" s="10" t="inlineStr">
        <is>
          <t xml:space="preserve">  VWAP</t>
        </is>
      </c>
    </row>
    <row r="14" ht="22" customHeight="1">
      <c r="A14" s="12" t="inlineStr">
        <is>
          <t>H1 FY26 BALANCE SHEET (31 March 2026)</t>
        </is>
      </c>
    </row>
    <row r="15">
      <c r="B15" s="13" t="inlineStr">
        <is>
          <t>Cash &amp; other cash investments (£M)</t>
        </is>
      </c>
      <c r="C15" s="16" t="n">
        <v>3446</v>
      </c>
      <c r="D15" s="10" t="inlineStr">
        <is>
          <t xml:space="preserve">  H1'26 RNS</t>
        </is>
      </c>
    </row>
    <row r="16">
      <c r="B16" s="13" t="inlineStr">
        <is>
          <t>Debt excl. lease liabilities (£M)</t>
        </is>
      </c>
      <c r="C16" s="16" t="n">
        <v>-2017</v>
      </c>
      <c r="D16" s="10" t="inlineStr">
        <is>
          <t xml:space="preserve">  H1'26 RNS</t>
        </is>
      </c>
    </row>
    <row r="17">
      <c r="B17" s="13" t="inlineStr">
        <is>
          <t>Lease liabilities (£M)</t>
        </is>
      </c>
      <c r="C17" s="16" t="n">
        <v>-995</v>
      </c>
      <c r="D17" s="10" t="inlineStr">
        <is>
          <t xml:space="preserve">  H1'26 RNS</t>
        </is>
      </c>
    </row>
    <row r="18">
      <c r="B18" s="13" t="inlineStr">
        <is>
          <t>PP&amp;E ex RoU (£M)</t>
        </is>
      </c>
      <c r="C18" s="16" t="n">
        <v>5042</v>
      </c>
      <c r="D18" s="10" t="inlineStr">
        <is>
          <t xml:space="preserve">  H1'26 RNS</t>
        </is>
      </c>
    </row>
    <row r="19">
      <c r="B19" s="13" t="inlineStr">
        <is>
          <t>Net assets (£M)</t>
        </is>
      </c>
      <c r="C19" s="16" t="n">
        <v>3657</v>
      </c>
      <c r="D19" s="10" t="inlineStr">
        <is>
          <t xml:space="preserve">  H1'26 RNS</t>
        </is>
      </c>
    </row>
    <row r="21" ht="22" customHeight="1">
      <c r="A21" s="12" t="inlineStr">
        <is>
          <t>HISTORICAL OPERATING</t>
        </is>
      </c>
    </row>
    <row r="22">
      <c r="B22" s="13" t="inlineStr">
        <is>
          <t>FY23 Revenue (£M)</t>
        </is>
      </c>
      <c r="C22" s="16" t="n">
        <v>8171</v>
      </c>
      <c r="D22" s="10" t="inlineStr">
        <is>
          <t xml:space="preserve">  FY23 Annual</t>
        </is>
      </c>
    </row>
    <row r="23">
      <c r="B23" s="13" t="inlineStr">
        <is>
          <t>FY24 Revenue (£M)</t>
        </is>
      </c>
      <c r="C23" s="16" t="n">
        <v>9309</v>
      </c>
      <c r="D23" s="10" t="inlineStr">
        <is>
          <t xml:space="preserve">  FY24 Annual</t>
        </is>
      </c>
    </row>
    <row r="24">
      <c r="B24" s="13" t="inlineStr">
        <is>
          <t>FY25 Revenue (£M)</t>
        </is>
      </c>
      <c r="C24" s="16" t="n">
        <v>10116</v>
      </c>
      <c r="D24" s="10" t="inlineStr">
        <is>
          <t xml:space="preserve">  FY25 Annual</t>
        </is>
      </c>
    </row>
    <row r="25">
      <c r="B25" s="13" t="inlineStr">
        <is>
          <t>FY23 Headline PBT (£M)</t>
        </is>
      </c>
      <c r="C25" s="16" t="n">
        <v>455</v>
      </c>
      <c r="D25" s="10" t="inlineStr">
        <is>
          <t xml:space="preserve">  FY23 Annual</t>
        </is>
      </c>
    </row>
    <row r="26">
      <c r="B26" s="13" t="inlineStr">
        <is>
          <t>FY24 Headline PBT (£M)</t>
        </is>
      </c>
      <c r="C26" s="16" t="n">
        <v>610</v>
      </c>
      <c r="D26" s="10" t="inlineStr">
        <is>
          <t xml:space="preserve">  FY24 Annual</t>
        </is>
      </c>
    </row>
    <row r="27">
      <c r="B27" s="13" t="inlineStr">
        <is>
          <t>FY25 Headline PBT (£M)</t>
        </is>
      </c>
      <c r="C27" s="16" t="n">
        <v>665</v>
      </c>
      <c r="D27" s="10" t="inlineStr">
        <is>
          <t xml:space="preserve">  FY25 Annual</t>
        </is>
      </c>
    </row>
    <row r="28">
      <c r="B28" s="13" t="inlineStr">
        <is>
          <t>FY25 Headline EBIT (£M)</t>
        </is>
      </c>
      <c r="C28" s="16" t="n">
        <v>703</v>
      </c>
      <c r="D28" s="10" t="inlineStr">
        <is>
          <t xml:space="preserve">  FY25 Annual</t>
        </is>
      </c>
    </row>
    <row r="29">
      <c r="B29" s="13" t="inlineStr">
        <is>
          <t>FY25 est. D&amp;A (£M)</t>
        </is>
      </c>
      <c r="C29" s="16" t="n">
        <v>617</v>
      </c>
      <c r="D29" s="10" t="inlineStr">
        <is>
          <t xml:space="preserve">  Est.</t>
        </is>
      </c>
    </row>
    <row r="30">
      <c r="B30" s="13" t="inlineStr">
        <is>
          <t>FY25 Adj EBITDA (£M)</t>
        </is>
      </c>
      <c r="C30" s="16" t="n">
        <v>1320</v>
      </c>
      <c r="D30" s="10" t="inlineStr">
        <is>
          <t xml:space="preserve">  EBIT + D&amp;A</t>
        </is>
      </c>
    </row>
    <row r="32" ht="22" customHeight="1">
      <c r="A32" s="12" t="inlineStr">
        <is>
          <t>H1 FY26 OPERATING</t>
        </is>
      </c>
    </row>
    <row r="33">
      <c r="B33" s="13" t="inlineStr">
        <is>
          <t>H1'26 Revenue (£M)</t>
        </is>
      </c>
      <c r="C33" s="16" t="n">
        <v>3954</v>
      </c>
      <c r="D33" s="10" t="inlineStr">
        <is>
          <t xml:space="preserve">  H1'26 RNS</t>
        </is>
      </c>
    </row>
    <row r="34">
      <c r="B34" s="13" t="inlineStr">
        <is>
          <t>H1'26 Airline revenue (£M)</t>
        </is>
      </c>
      <c r="C34" s="16" t="n">
        <v>3436</v>
      </c>
      <c r="D34" s="10" t="inlineStr">
        <is>
          <t xml:space="preserve">  H1'26 RNS</t>
        </is>
      </c>
    </row>
    <row r="35">
      <c r="B35" s="13" t="inlineStr">
        <is>
          <t>H1'26 Holidays revenue (£M)</t>
        </is>
      </c>
      <c r="C35" s="16" t="n">
        <v>519</v>
      </c>
      <c r="D35" s="10" t="inlineStr">
        <is>
          <t xml:space="preserve">  H1'26 RNS</t>
        </is>
      </c>
    </row>
    <row r="36">
      <c r="B36" s="13" t="inlineStr">
        <is>
          <t>H1'26 Airline LBIT (£M)</t>
        </is>
      </c>
      <c r="C36" s="16" t="n">
        <v>-581</v>
      </c>
      <c r="D36" s="10" t="inlineStr">
        <is>
          <t xml:space="preserve">  H1'26 RNS</t>
        </is>
      </c>
    </row>
    <row r="37">
      <c r="B37" s="13" t="inlineStr">
        <is>
          <t>H1'26 Holidays EBIT (£M)</t>
        </is>
      </c>
      <c r="C37" s="16" t="n">
        <v>48</v>
      </c>
      <c r="D37" s="10" t="inlineStr">
        <is>
          <t xml:space="preserve">  H1'26 RNS</t>
        </is>
      </c>
    </row>
    <row r="38">
      <c r="B38" s="13" t="inlineStr">
        <is>
          <t>H1'26 Group LBIT (£M)</t>
        </is>
      </c>
      <c r="C38" s="16" t="n">
        <v>-533</v>
      </c>
      <c r="D38" s="10" t="inlineStr">
        <is>
          <t xml:space="preserve">  H1'26 RNS</t>
        </is>
      </c>
    </row>
    <row r="39">
      <c r="B39" s="13" t="inlineStr">
        <is>
          <t>H1'26 Group LBT (£M)</t>
        </is>
      </c>
      <c r="C39" s="16" t="n">
        <v>-552</v>
      </c>
      <c r="D39" s="10" t="inlineStr">
        <is>
          <t xml:space="preserve">  H1'26 RNS</t>
        </is>
      </c>
    </row>
    <row r="40">
      <c r="B40" s="13" t="inlineStr">
        <is>
          <t>H1'26 Load factor (%)</t>
        </is>
      </c>
      <c r="C40" s="17" t="n">
        <v>89.8</v>
      </c>
      <c r="D40" s="10" t="inlineStr">
        <is>
          <t xml:space="preserve">  H1'26 RNS</t>
        </is>
      </c>
    </row>
    <row r="41">
      <c r="B41" s="13" t="inlineStr">
        <is>
          <t>H1'26 Passengers (M)</t>
        </is>
      </c>
      <c r="C41" s="17" t="n">
        <v>42</v>
      </c>
      <c r="D41" s="10" t="inlineStr">
        <is>
          <t xml:space="preserve">  H1'26 RNS</t>
        </is>
      </c>
    </row>
    <row r="43" ht="22" customHeight="1">
      <c r="A43" s="12" t="inlineStr">
        <is>
          <t>Q3 FY26 TRADING UPDATE</t>
        </is>
      </c>
    </row>
    <row r="44">
      <c r="B44" s="13" t="inlineStr">
        <is>
          <t>Q3'26 Revenue (£M)</t>
        </is>
      </c>
      <c r="C44" s="16" t="n">
        <v>2920</v>
      </c>
      <c r="D44" s="10" t="inlineStr">
        <is>
          <t xml:space="preserve">  Q3 update</t>
        </is>
      </c>
    </row>
    <row r="45">
      <c r="B45" s="13" t="inlineStr">
        <is>
          <t>Q3'26 Headline PBT (£M)</t>
        </is>
      </c>
      <c r="C45" s="16" t="n">
        <v>286</v>
      </c>
      <c r="D45" s="10" t="inlineStr">
        <is>
          <t xml:space="preserve">  Q3 update</t>
        </is>
      </c>
    </row>
    <row r="46">
      <c r="B46" s="13" t="inlineStr">
        <is>
          <t>Q3'26 Passengers (M)</t>
        </is>
      </c>
      <c r="C46" s="17" t="n">
        <v>25.9</v>
      </c>
      <c r="D46" s="10" t="inlineStr">
        <is>
          <t xml:space="preserve">  Q3 update</t>
        </is>
      </c>
    </row>
    <row r="47">
      <c r="B47" s="13" t="inlineStr">
        <is>
          <t>Q3'26 Load factor (%)</t>
        </is>
      </c>
      <c r="C47" s="17" t="n">
        <v>90.2</v>
      </c>
      <c r="D47" s="10" t="inlineStr">
        <is>
          <t xml:space="preserve">  Q3 update</t>
        </is>
      </c>
    </row>
    <row r="48">
      <c r="B48" s="13" t="inlineStr">
        <is>
          <t>FY26E Consensus PBT (£M)</t>
        </is>
      </c>
      <c r="C48" s="16" t="n">
        <v>625</v>
      </c>
      <c r="D48" s="10" t="inlineStr">
        <is>
          <t xml:space="preserve">  Post -5.5% cut</t>
        </is>
      </c>
    </row>
    <row r="50" ht="22" customHeight="1">
      <c r="A50" s="12" t="inlineStr">
        <is>
          <t>MANAGEMENT MEDIUM-TERM TARGETS</t>
        </is>
      </c>
    </row>
    <row r="51">
      <c r="B51" s="13" t="inlineStr">
        <is>
          <t>Medium-term Group PBT target (£M)</t>
        </is>
      </c>
      <c r="C51" s="16" t="n">
        <v>1000</v>
      </c>
      <c r="D51" s="10" t="inlineStr">
        <is>
          <t xml:space="preserve">  H1'26 Investor Pres</t>
        </is>
      </c>
    </row>
    <row r="52">
      <c r="B52" s="13" t="inlineStr">
        <is>
          <t>Holidays PBT by FY30 target (£M)</t>
        </is>
      </c>
      <c r="C52" s="16" t="n">
        <v>450</v>
      </c>
      <c r="D52" s="10" t="inlineStr">
        <is>
          <t xml:space="preserve">  H1'26 Investor Pres</t>
        </is>
      </c>
    </row>
    <row r="53">
      <c r="B53" s="13" t="inlineStr">
        <is>
          <t>Upgauging savings by FY28 (£M)</t>
        </is>
      </c>
      <c r="C53" s="16" t="n">
        <v>250</v>
      </c>
      <c r="D53" s="10" t="inlineStr">
        <is>
          <t xml:space="preserve">  H1'26 Investor Pres</t>
        </is>
      </c>
    </row>
    <row r="55" ht="22" customHeight="1">
      <c r="A55" s="12" t="inlineStr">
        <is>
          <t>SPONSOR CAPITAL STRUCTURE</t>
        </is>
      </c>
    </row>
    <row r="56">
      <c r="B56" s="13" t="inlineStr">
        <is>
          <t>Aircraft-secured term loan (£M)</t>
        </is>
      </c>
      <c r="C56" s="16" t="n">
        <v>2000</v>
      </c>
      <c r="D56" s="10" t="inlineStr">
        <is>
          <t xml:space="preserve">  Against £5.0B PPE</t>
        </is>
      </c>
    </row>
    <row r="57">
      <c r="B57" s="13" t="inlineStr">
        <is>
          <t>Term loan rate (%)</t>
        </is>
      </c>
      <c r="C57" s="14" t="n">
        <v>7.5</v>
      </c>
      <c r="D57" s="10" t="inlineStr">
        <is>
          <t xml:space="preserve">  SOFR + 425 bps</t>
        </is>
      </c>
    </row>
    <row r="58">
      <c r="B58" s="13" t="inlineStr">
        <is>
          <t>High-yield senior notes (£M)</t>
        </is>
      </c>
      <c r="C58" s="16" t="n">
        <v>1000</v>
      </c>
      <c r="D58" s="10" t="inlineStr">
        <is>
          <t xml:space="preserve">  Unsecured</t>
        </is>
      </c>
    </row>
    <row r="59">
      <c r="B59" s="13" t="inlineStr">
        <is>
          <t>HY notes coupon (%)</t>
        </is>
      </c>
      <c r="C59" s="14" t="n">
        <v>9</v>
      </c>
      <c r="D59" s="10" t="inlineStr">
        <is>
          <t xml:space="preserve">  Fixed</t>
        </is>
      </c>
    </row>
    <row r="60">
      <c r="B60" s="13" t="inlineStr">
        <is>
          <t>Rollover + stub equity (£M)</t>
        </is>
      </c>
      <c r="C60" s="16" t="n">
        <v>400</v>
      </c>
      <c r="D60" s="10" t="inlineStr">
        <is>
          <t xml:space="preserve">  Modest stub election</t>
        </is>
      </c>
    </row>
    <row r="61">
      <c r="B61" s="13" t="inlineStr">
        <is>
          <t>Min. operating cash retention (£M)</t>
        </is>
      </c>
      <c r="C61" s="16" t="n">
        <v>750</v>
      </c>
      <c r="D61" s="10" t="inlineStr">
        <is>
          <t xml:space="preserve">  Est.</t>
        </is>
      </c>
    </row>
    <row r="62">
      <c r="B62" s="13" t="inlineStr">
        <is>
          <t>Transaction fees (% of EV)</t>
        </is>
      </c>
      <c r="C62" s="14" t="n">
        <v>2.5</v>
      </c>
      <c r="D62" s="10" t="inlineStr">
        <is>
          <t xml:space="preserve">  M&amp;A + legal</t>
        </is>
      </c>
    </row>
    <row r="63">
      <c r="B63" s="13" t="inlineStr">
        <is>
          <t>Financing fees (% of new debt)</t>
        </is>
      </c>
      <c r="C63" s="14" t="n">
        <v>2.5</v>
      </c>
      <c r="D63" s="10" t="inlineStr">
        <is>
          <t xml:space="preserve">  OID + underwriting</t>
        </is>
      </c>
    </row>
    <row r="65" ht="22" customHeight="1">
      <c r="A65" s="12" t="inlineStr">
        <is>
          <t>EXIT ASSUMPTIONS</t>
        </is>
      </c>
    </row>
    <row r="66">
      <c r="B66" s="13" t="inlineStr">
        <is>
          <t>Hold period (years)</t>
        </is>
      </c>
      <c r="C66" s="18" t="n">
        <v>5</v>
      </c>
      <c r="D66" s="10" t="inlineStr">
        <is>
          <t xml:space="preserve">  Standard sponsor hold</t>
        </is>
      </c>
    </row>
    <row r="67">
      <c r="B67" s="13" t="inlineStr">
        <is>
          <t>Base exit EV/EBITDA multiple</t>
        </is>
      </c>
      <c r="C67" s="14" t="n">
        <v>5</v>
      </c>
      <c r="D67" s="10" t="inlineStr">
        <is>
          <t xml:space="preserve">  Practitioner est.</t>
        </is>
      </c>
    </row>
    <row r="68">
      <c r="B68" s="13" t="inlineStr">
        <is>
          <t>Ambition landing (%)</t>
        </is>
      </c>
      <c r="C68" s="18" t="n">
        <v>75</v>
      </c>
      <c r="D68" s="10" t="inlineStr">
        <is>
          <t xml:space="preserve">  % of £1B target</t>
        </is>
      </c>
    </row>
    <row r="69">
      <c r="B69" s="13" t="inlineStr">
        <is>
          <t>Cash tax rate (%)</t>
        </is>
      </c>
      <c r="C69" s="18" t="n">
        <v>25</v>
      </c>
      <c r="D69" s="10" t="inlineStr">
        <is>
          <t xml:space="preserve">  UK corporation tax</t>
        </is>
      </c>
    </row>
  </sheetData>
  <mergeCells count="8">
    <mergeCell ref="A5:D5"/>
    <mergeCell ref="A50:D50"/>
    <mergeCell ref="A21:D21"/>
    <mergeCell ref="A55:D55"/>
    <mergeCell ref="A65:D65"/>
    <mergeCell ref="A43:D43"/>
    <mergeCell ref="A32:D32"/>
    <mergeCell ref="A14:D14"/>
  </mergeCells>
  <printOptions horizontalCentered="1"/>
  <pageMargins left="0.5" right="0.5" top="0.5" bottom="0.5" header="0.5" footer="0.5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4" customWidth="1" min="2" max="2"/>
    <col width="15" customWidth="1" min="3" max="3"/>
    <col width="15" customWidth="1" min="4" max="4"/>
    <col width="24" customWidth="1" min="5" max="5"/>
  </cols>
  <sheetData>
    <row r="2">
      <c r="B2" s="3" t="inlineStr">
        <is>
          <t>PURCHASE PRICE ANALYSIS</t>
        </is>
      </c>
    </row>
    <row r="5" ht="22" customHeight="1">
      <c r="A5" s="12" t="inlineStr">
        <is>
          <t>FULLY DILUTED EQUITY VALUE</t>
        </is>
      </c>
    </row>
    <row r="6">
      <c r="C6" s="19" t="inlineStr">
        <is>
          <t>Shares (M)</t>
        </is>
      </c>
      <c r="D6" s="19" t="inlineStr">
        <is>
          <t>£/share</t>
        </is>
      </c>
      <c r="E6" s="19" t="inlineStr">
        <is>
          <t>Value (£M)</t>
        </is>
      </c>
    </row>
    <row r="7">
      <c r="B7" s="13" t="inlineStr">
        <is>
          <t>Ordinary shares in issue</t>
        </is>
      </c>
      <c r="C7" s="20">
        <f>'2_Assumptions'!C7</f>
        <v/>
      </c>
      <c r="D7" s="21">
        <f>'2_Assumptions'!C6</f>
        <v/>
      </c>
      <c r="E7" s="22">
        <f>C7*D7</f>
        <v/>
      </c>
    </row>
    <row r="8">
      <c r="B8" s="13" t="inlineStr">
        <is>
          <t>Plus: dilutive incentive shares</t>
        </is>
      </c>
      <c r="C8" s="20">
        <f>'2_Assumptions'!C8</f>
        <v/>
      </c>
      <c r="D8" s="21">
        <f>'2_Assumptions'!C6</f>
        <v/>
      </c>
      <c r="E8" s="22">
        <f>C8*D8</f>
        <v/>
      </c>
    </row>
    <row r="9">
      <c r="B9" s="23" t="inlineStr">
        <is>
          <t>Fully diluted equity value</t>
        </is>
      </c>
      <c r="C9" s="24">
        <f>C7+C8</f>
        <v/>
      </c>
      <c r="D9" s="21">
        <f>'2_Assumptions'!C6</f>
        <v/>
      </c>
      <c r="E9" s="25">
        <f>C9*D9</f>
        <v/>
      </c>
    </row>
    <row r="11" ht="22" customHeight="1">
      <c r="A11" s="12" t="inlineStr">
        <is>
          <t>PREMIUM ANALYSIS</t>
        </is>
      </c>
    </row>
    <row r="12">
      <c r="C12" s="19" t="inlineStr">
        <is>
          <t>Ref £/share</t>
        </is>
      </c>
      <c r="D12" s="19" t="inlineStr">
        <is>
          <t>Offer £/share</t>
        </is>
      </c>
      <c r="E12" s="19" t="inlineStr">
        <is>
          <t>Premium</t>
        </is>
      </c>
    </row>
    <row r="13">
      <c r="B13" s="13" t="inlineStr">
        <is>
          <t>81% to 28 May 2026 close</t>
        </is>
      </c>
      <c r="C13" s="21">
        <f>'2_Assumptions'!C10</f>
        <v/>
      </c>
      <c r="D13" s="21">
        <f>'2_Assumptions'!C6</f>
        <v/>
      </c>
      <c r="E13" s="26">
        <f>D13/C13-1</f>
        <v/>
      </c>
    </row>
    <row r="14">
      <c r="B14" s="13" t="inlineStr">
        <is>
          <t>22% to 4-year trading high</t>
        </is>
      </c>
      <c r="C14" s="21">
        <f>'2_Assumptions'!C11</f>
        <v/>
      </c>
      <c r="D14" s="21">
        <f>'2_Assumptions'!C6</f>
        <v/>
      </c>
      <c r="E14" s="26">
        <f>D14/C14-1</f>
        <v/>
      </c>
    </row>
    <row r="15">
      <c r="B15" s="13" t="inlineStr">
        <is>
          <t>80% to 90-day VWAP to 28 May 2026</t>
        </is>
      </c>
      <c r="C15" s="21">
        <f>'2_Assumptions'!C12</f>
        <v/>
      </c>
      <c r="D15" s="21">
        <f>'2_Assumptions'!C6</f>
        <v/>
      </c>
      <c r="E15" s="26">
        <f>D15/C15-1</f>
        <v/>
      </c>
    </row>
    <row r="16">
      <c r="B16" s="13" t="inlineStr">
        <is>
          <t>Topper over Castlelake £6.90</t>
        </is>
      </c>
      <c r="C16" s="21">
        <f>'2_Assumptions'!C9</f>
        <v/>
      </c>
      <c r="D16" s="21">
        <f>'2_Assumptions'!C6</f>
        <v/>
      </c>
      <c r="E16" s="26">
        <f>D16/C16-1</f>
        <v/>
      </c>
    </row>
    <row r="18" ht="22" customHeight="1">
      <c r="A18" s="12" t="inlineStr">
        <is>
          <t>EQUITY VALUE → ENTERPRISE VALUE</t>
        </is>
      </c>
    </row>
    <row r="19">
      <c r="B19" s="13" t="inlineStr">
        <is>
          <t>Fully diluted equity value</t>
        </is>
      </c>
      <c r="E19" s="27">
        <f>E9</f>
        <v/>
      </c>
    </row>
    <row r="20">
      <c r="B20" s="13" t="inlineStr">
        <is>
          <t>Less: cash and other cash investments</t>
        </is>
      </c>
      <c r="E20" s="27">
        <f>-'2_Assumptions'!C15</f>
        <v/>
      </c>
    </row>
    <row r="21">
      <c r="B21" s="13" t="inlineStr">
        <is>
          <t>Plus: debt (excl. lease liabilities)</t>
        </is>
      </c>
      <c r="E21" s="27">
        <f>-'2_Assumptions'!C16</f>
        <v/>
      </c>
    </row>
    <row r="22">
      <c r="B22" s="23" t="inlineStr">
        <is>
          <t>Enterprise value (traditional, ex-leases)</t>
        </is>
      </c>
      <c r="E22" s="25">
        <f>SUM(E19:E21)</f>
        <v/>
      </c>
    </row>
    <row r="23">
      <c r="B23" s="13" t="inlineStr">
        <is>
          <t>Plus: lease liabilities (IFRS 16)</t>
        </is>
      </c>
      <c r="E23" s="27">
        <f>-'2_Assumptions'!C17</f>
        <v/>
      </c>
    </row>
    <row r="24">
      <c r="B24" s="23" t="inlineStr">
        <is>
          <t>Enterprise value (lease-adjusted)</t>
        </is>
      </c>
      <c r="E24" s="25">
        <f>E22+E23</f>
        <v/>
      </c>
    </row>
    <row r="26" ht="22" customHeight="1">
      <c r="A26" s="12" t="inlineStr">
        <is>
          <t>ENTRY MULTIPLES</t>
        </is>
      </c>
    </row>
    <row r="27">
      <c r="C27" s="19" t="inlineStr">
        <is>
          <t>FY25</t>
        </is>
      </c>
      <c r="D27" s="19" t="inlineStr">
        <is>
          <t>FY26E</t>
        </is>
      </c>
      <c r="E27" s="19" t="inlineStr">
        <is>
          <t>Mid-Term</t>
        </is>
      </c>
    </row>
    <row r="28">
      <c r="B28" s="13" t="inlineStr">
        <is>
          <t>Headline PBT (£M)</t>
        </is>
      </c>
      <c r="C28" s="27">
        <f>'2_Assumptions'!C27</f>
        <v/>
      </c>
      <c r="D28" s="27">
        <f>'2_Assumptions'!C48</f>
        <v/>
      </c>
      <c r="E28" s="27">
        <f>'2_Assumptions'!C51</f>
        <v/>
      </c>
    </row>
    <row r="29">
      <c r="B29" s="13" t="inlineStr">
        <is>
          <t>Adj. EBITDA est. (£M)</t>
        </is>
      </c>
      <c r="C29" s="27">
        <f>'2_Assumptions'!C30</f>
        <v/>
      </c>
      <c r="D29" s="22">
        <f>D28+'2_Assumptions'!C29</f>
        <v/>
      </c>
      <c r="E29" s="22">
        <f>E28+700</f>
        <v/>
      </c>
    </row>
    <row r="30">
      <c r="B30" s="23" t="inlineStr">
        <is>
          <t>EV/EBITDA (lease-adjusted)</t>
        </is>
      </c>
      <c r="C30" s="28">
        <f>$E$24/C29</f>
        <v/>
      </c>
      <c r="D30" s="28">
        <f>$E$24/D29</f>
        <v/>
      </c>
      <c r="E30" s="28">
        <f>$E$24/E29</f>
        <v/>
      </c>
    </row>
  </sheetData>
  <mergeCells count="4">
    <mergeCell ref="A11:E11"/>
    <mergeCell ref="A5:E5"/>
    <mergeCell ref="A18:E18"/>
    <mergeCell ref="A26:E26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2:E3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52" customWidth="1" min="2" max="2"/>
    <col width="15" customWidth="1" min="3" max="3"/>
    <col width="44" customWidth="1" min="4" max="4"/>
  </cols>
  <sheetData>
    <row r="2">
      <c r="B2" s="3" t="inlineStr">
        <is>
          <t>ILLUSTRATIVE SOURCES &amp; USES</t>
        </is>
      </c>
    </row>
    <row r="5" ht="22" customHeight="1">
      <c r="A5" s="58" t="inlineStr">
        <is>
          <t>USES OF FUNDS</t>
        </is>
      </c>
      <c r="E5" s="59" t="n"/>
    </row>
    <row r="6">
      <c r="A6" s="59" t="n"/>
      <c r="B6" s="59" t="n"/>
      <c r="C6" s="60" t="inlineStr">
        <is>
          <t>£M</t>
        </is>
      </c>
      <c r="D6" s="59" t="n"/>
      <c r="E6" s="59" t="n"/>
    </row>
    <row r="7">
      <c r="A7" s="59" t="n"/>
      <c r="B7" s="61" t="inlineStr">
        <is>
          <t>Purchase fully diluted equity (£7.15 × 794.8M shares)</t>
        </is>
      </c>
      <c r="C7" s="62">
        <f>'3_Purchase_Price'!E9</f>
        <v/>
      </c>
      <c r="D7" s="63" t="inlineStr">
        <is>
          <t xml:space="preserve">  Cash consideration to public shareholders</t>
        </is>
      </c>
      <c r="E7" s="59" t="n"/>
    </row>
    <row r="8">
      <c r="A8" s="59" t="n"/>
      <c r="B8" s="61" t="inlineStr">
        <is>
          <t>Refinance existing on-balance-sheet debt</t>
        </is>
      </c>
      <c r="C8" s="62">
        <f>-'2_Assumptions'!C16</f>
        <v/>
      </c>
      <c r="D8" s="63" t="inlineStr">
        <is>
          <t xml:space="preserve">  Rating downgrade post-LBO; existing IG paper refinances</t>
        </is>
      </c>
      <c r="E8" s="59" t="n"/>
    </row>
    <row r="9">
      <c r="A9" s="59" t="n"/>
      <c r="B9" s="61" t="inlineStr">
        <is>
          <t>Transaction fees (2.5% of enterprise value)</t>
        </is>
      </c>
      <c r="C9" s="64">
        <f>'3_Purchase_Price'!E24*'2_Assumptions'!C62/100</f>
        <v/>
      </c>
      <c r="D9" s="63" t="inlineStr">
        <is>
          <t xml:space="preserve">  M&amp;A advisory, legal, accounting</t>
        </is>
      </c>
      <c r="E9" s="59" t="n"/>
    </row>
    <row r="10">
      <c r="A10" s="59" t="n"/>
      <c r="B10" s="61" t="inlineStr">
        <is>
          <t>Financing fees (2.5% of new debt)</t>
        </is>
      </c>
      <c r="C10" s="64">
        <f>('2_Assumptions'!C56+'2_Assumptions'!C58)*'2_Assumptions'!C63/100</f>
        <v/>
      </c>
      <c r="D10" s="63" t="inlineStr">
        <is>
          <t xml:space="preserve">  OID, underwriting, arranger, agent, ratings</t>
        </is>
      </c>
      <c r="E10" s="59" t="n"/>
    </row>
    <row r="11">
      <c r="A11" s="59" t="n"/>
      <c r="B11" s="65" t="inlineStr">
        <is>
          <t>TOTAL USES</t>
        </is>
      </c>
      <c r="C11" s="25">
        <f>SUM(C7:C10)</f>
        <v/>
      </c>
      <c r="D11" s="59" t="n"/>
      <c r="E11" s="59" t="n"/>
    </row>
    <row r="12">
      <c r="A12" s="59" t="n"/>
      <c r="B12" s="59" t="n"/>
      <c r="C12" s="66" t="n"/>
      <c r="D12" s="59" t="n"/>
      <c r="E12" s="59" t="n"/>
    </row>
    <row r="13" ht="22" customHeight="1">
      <c r="A13" s="58" t="inlineStr">
        <is>
          <t>SOURCES OF FUNDS</t>
        </is>
      </c>
      <c r="E13" s="59" t="n"/>
    </row>
    <row r="14">
      <c r="A14" s="59" t="n"/>
      <c r="B14" s="59" t="n"/>
      <c r="C14" s="60" t="inlineStr">
        <is>
          <t>£M</t>
        </is>
      </c>
      <c r="D14" s="59" t="n"/>
      <c r="E14" s="59" t="n"/>
    </row>
    <row r="15">
      <c r="A15" s="59" t="n"/>
      <c r="B15" s="61" t="inlineStr">
        <is>
          <t>Existing cash on balance sheet (net of £750M min. operating retention)</t>
        </is>
      </c>
      <c r="C15" s="64">
        <f>'2_Assumptions'!C15-'2_Assumptions'!C61</f>
        <v/>
      </c>
      <c r="D15" s="63" t="inlineStr">
        <is>
          <t xml:space="preserve">  £3,446M cash less £750M practitioner-estimated liquidity buffer</t>
        </is>
      </c>
      <c r="E15" s="59" t="n"/>
    </row>
    <row r="16">
      <c r="A16" s="59" t="n"/>
      <c r="B16" s="61" t="inlineStr">
        <is>
          <t>Aircraft-secured term loan (5.5x adj. EBITDA)</t>
        </is>
      </c>
      <c r="C16" s="62">
        <f>'2_Assumptions'!C56</f>
        <v/>
      </c>
      <c r="D16" s="63" t="inlineStr">
        <is>
          <t xml:space="preserve">  Senior secured; SOFR + 425 bps; 100% cash sweep</t>
        </is>
      </c>
      <c r="E16" s="59" t="n"/>
    </row>
    <row r="17">
      <c r="A17" s="59" t="n"/>
      <c r="B17" s="61" t="inlineStr">
        <is>
          <t>High-yield senior notes (unsecured, 9% coupon)</t>
        </is>
      </c>
      <c r="C17" s="62">
        <f>'2_Assumptions'!C58</f>
        <v/>
      </c>
      <c r="D17" s="63" t="inlineStr">
        <is>
          <t xml:space="preserve">  Unsecured; 9% coupon; incurrence covenants</t>
        </is>
      </c>
      <c r="E17" s="59" t="n"/>
    </row>
    <row r="18">
      <c r="A18" s="59" t="n"/>
      <c r="B18" s="61" t="inlineStr">
        <is>
          <t>Rollover management + Stub Equity Alternative</t>
        </is>
      </c>
      <c r="C18" s="62">
        <f>'2_Assumptions'!C60</f>
        <v/>
      </c>
      <c r="D18" s="63" t="inlineStr">
        <is>
          <t xml:space="preserve">  Existing shareholders roll into Apollo vehicle; management rollover</t>
        </is>
      </c>
      <c r="E18" s="59" t="n"/>
    </row>
    <row r="19">
      <c r="A19" s="59" t="n"/>
      <c r="B19" s="61" t="inlineStr">
        <is>
          <t>Sponsor equity check (Apollo Funds)</t>
        </is>
      </c>
      <c r="C19" s="64">
        <f>C11-C15-C16-C17-C18</f>
        <v/>
      </c>
      <c r="D19" s="63" t="inlineStr">
        <is>
          <t xml:space="preserve">  The plug — funded from Apollo committed equity; ~23% of sources</t>
        </is>
      </c>
      <c r="E19" s="59" t="n"/>
    </row>
    <row r="20">
      <c r="A20" s="59" t="n"/>
      <c r="B20" s="65" t="inlineStr">
        <is>
          <t>TOTAL SOURCES</t>
        </is>
      </c>
      <c r="C20" s="25">
        <f>SUM(C15:C19)</f>
        <v/>
      </c>
      <c r="D20" s="59" t="n"/>
      <c r="E20" s="59" t="n"/>
    </row>
    <row r="21">
      <c r="A21" s="59" t="n"/>
      <c r="B21" s="59" t="n"/>
      <c r="C21" s="59" t="n"/>
      <c r="D21" s="59" t="n"/>
      <c r="E21" s="59" t="n"/>
    </row>
    <row r="22">
      <c r="A22" s="59" t="n"/>
      <c r="B22" s="67" t="inlineStr">
        <is>
          <t>Check: Sources − Uses (must equal zero)</t>
        </is>
      </c>
      <c r="C22" s="68">
        <f>C20-C11</f>
        <v/>
      </c>
      <c r="D22" s="59" t="n"/>
      <c r="E22" s="59" t="n"/>
    </row>
    <row r="23">
      <c r="A23" s="59" t="n"/>
      <c r="B23" s="59" t="n"/>
      <c r="C23" s="59" t="n"/>
      <c r="D23" s="59" t="n"/>
      <c r="E23" s="59" t="n"/>
    </row>
    <row r="24" ht="22" customHeight="1">
      <c r="A24" s="58" t="inlineStr">
        <is>
          <t>PRO-FORMA LEVERAGE</t>
        </is>
      </c>
      <c r="E24" s="59" t="n"/>
    </row>
    <row r="25">
      <c r="A25" s="59" t="n"/>
      <c r="B25" s="61" t="inlineStr">
        <is>
          <t>Total secured debt (term loan)</t>
        </is>
      </c>
      <c r="C25" s="62">
        <f>C16</f>
        <v/>
      </c>
      <c r="D25" s="59" t="n"/>
      <c r="E25" s="59" t="n"/>
    </row>
    <row r="26">
      <c r="A26" s="59" t="n"/>
      <c r="B26" s="61" t="inlineStr">
        <is>
          <t>Total unsecured debt (HY notes)</t>
        </is>
      </c>
      <c r="C26" s="62">
        <f>C17</f>
        <v/>
      </c>
      <c r="D26" s="59" t="n"/>
      <c r="E26" s="59" t="n"/>
    </row>
    <row r="27">
      <c r="A27" s="59" t="n"/>
      <c r="B27" s="65" t="inlineStr">
        <is>
          <t>Total debt (excluding leases)</t>
        </is>
      </c>
      <c r="C27" s="25">
        <f>C25+C26</f>
        <v/>
      </c>
      <c r="D27" s="59" t="n"/>
      <c r="E27" s="59" t="n"/>
    </row>
    <row r="28">
      <c r="A28" s="59" t="n"/>
      <c r="B28" s="61" t="inlineStr">
        <is>
          <t>Lease liabilities retained (IFRS 16)</t>
        </is>
      </c>
      <c r="C28" s="62">
        <f>-'2_Assumptions'!C17</f>
        <v/>
      </c>
      <c r="D28" s="59" t="n"/>
      <c r="E28" s="59" t="n"/>
    </row>
    <row r="29">
      <c r="A29" s="59" t="n"/>
      <c r="B29" s="65" t="inlineStr">
        <is>
          <t>Total lease-adjusted debt</t>
        </is>
      </c>
      <c r="C29" s="25">
        <f>C27+C28</f>
        <v/>
      </c>
      <c r="D29" s="59" t="n"/>
      <c r="E29" s="59" t="n"/>
    </row>
    <row r="30">
      <c r="A30" s="59" t="n"/>
      <c r="B30" s="59" t="n"/>
      <c r="C30" s="59" t="n"/>
      <c r="D30" s="59" t="n"/>
      <c r="E30" s="59" t="n"/>
    </row>
    <row r="31">
      <c r="A31" s="59" t="n"/>
      <c r="B31" s="61" t="inlineStr">
        <is>
          <t>FY25 Adj EBITDA</t>
        </is>
      </c>
      <c r="C31" s="62">
        <f>'2_Assumptions'!C30</f>
        <v/>
      </c>
      <c r="D31" s="59" t="n"/>
      <c r="E31" s="59" t="n"/>
    </row>
    <row r="32">
      <c r="A32" s="59" t="n"/>
      <c r="B32" s="65" t="inlineStr">
        <is>
          <t>Total debt / EBITDA (traditional)</t>
        </is>
      </c>
      <c r="C32" s="28">
        <f>C27/C31</f>
        <v/>
      </c>
      <c r="D32" s="59" t="n"/>
      <c r="E32" s="59" t="n"/>
    </row>
    <row r="33">
      <c r="A33" s="59" t="n"/>
      <c r="B33" s="65" t="inlineStr">
        <is>
          <t>Lease-adjusted debt / EBITDA</t>
        </is>
      </c>
      <c r="C33" s="28">
        <f>C29/C31</f>
        <v/>
      </c>
      <c r="D33" s="59" t="n"/>
      <c r="E33" s="59" t="n"/>
    </row>
    <row r="34">
      <c r="A34" s="59" t="n"/>
      <c r="B34" s="59" t="n"/>
      <c r="C34" s="59" t="n"/>
      <c r="D34" s="59" t="n"/>
      <c r="E34" s="59" t="n"/>
    </row>
    <row r="35">
      <c r="A35" s="59" t="n"/>
      <c r="B35" s="59" t="n"/>
      <c r="C35" s="59" t="n"/>
      <c r="D35" s="59" t="n"/>
      <c r="E35" s="59" t="n"/>
    </row>
  </sheetData>
  <mergeCells count="3">
    <mergeCell ref="A5:D5"/>
    <mergeCell ref="A24:D24"/>
    <mergeCell ref="A13:D13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2:G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2">
      <c r="B2" s="3" t="inlineStr">
        <is>
          <t>HISTORICAL FINANCIALS</t>
        </is>
      </c>
    </row>
    <row r="5" ht="22" customHeight="1">
      <c r="A5" s="12" t="inlineStr">
        <is>
          <t>INCOME STATEMENT (£M)</t>
        </is>
      </c>
    </row>
    <row r="6">
      <c r="C6" s="19" t="inlineStr">
        <is>
          <t>FY23A</t>
        </is>
      </c>
      <c r="D6" s="19" t="inlineStr">
        <is>
          <t>FY24A</t>
        </is>
      </c>
      <c r="E6" s="19" t="inlineStr">
        <is>
          <t>FY25A</t>
        </is>
      </c>
      <c r="F6" s="19" t="inlineStr">
        <is>
          <t>H1 FY26</t>
        </is>
      </c>
      <c r="G6" s="19" t="inlineStr">
        <is>
          <t>Q3 FY26</t>
        </is>
      </c>
    </row>
    <row r="7">
      <c r="B7" s="13" t="inlineStr">
        <is>
          <t>Group revenue</t>
        </is>
      </c>
      <c r="C7" s="27">
        <f>'2_Assumptions'!C22</f>
        <v/>
      </c>
      <c r="D7" s="27">
        <f>'2_Assumptions'!C23</f>
        <v/>
      </c>
      <c r="E7" s="27">
        <f>'2_Assumptions'!C24</f>
        <v/>
      </c>
      <c r="F7" s="27">
        <f>'2_Assumptions'!C33</f>
        <v/>
      </c>
      <c r="G7" s="27">
        <f>'2_Assumptions'!C44</f>
        <v/>
      </c>
    </row>
    <row r="8">
      <c r="B8" s="13" t="inlineStr">
        <is>
          <t>Revenue growth YoY</t>
        </is>
      </c>
      <c r="D8" s="32">
        <f>D7/C7-1</f>
        <v/>
      </c>
      <c r="E8" s="32">
        <f>E7/D7-1</f>
        <v/>
      </c>
    </row>
    <row r="10">
      <c r="B10" s="13" t="inlineStr">
        <is>
          <t>Headline PBT / (LBT)</t>
        </is>
      </c>
      <c r="C10" s="27">
        <f>'2_Assumptions'!C25</f>
        <v/>
      </c>
      <c r="D10" s="27">
        <f>'2_Assumptions'!C26</f>
        <v/>
      </c>
      <c r="E10" s="27">
        <f>'2_Assumptions'!C27</f>
        <v/>
      </c>
      <c r="F10" s="27">
        <f>'2_Assumptions'!C39</f>
        <v/>
      </c>
      <c r="G10" s="27">
        <f>'2_Assumptions'!C45</f>
        <v/>
      </c>
    </row>
    <row r="11">
      <c r="B11" s="13" t="inlineStr">
        <is>
          <t>PBT margin</t>
        </is>
      </c>
      <c r="C11" s="32">
        <f>C10/C7</f>
        <v/>
      </c>
      <c r="D11" s="32">
        <f>D10/D7</f>
        <v/>
      </c>
      <c r="E11" s="32">
        <f>E10/E7</f>
        <v/>
      </c>
    </row>
    <row r="12">
      <c r="B12" s="13" t="inlineStr">
        <is>
          <t>Headline EBIT</t>
        </is>
      </c>
      <c r="E12" s="27">
        <f>'2_Assumptions'!C28</f>
        <v/>
      </c>
    </row>
    <row r="13">
      <c r="B13" s="13" t="inlineStr">
        <is>
          <t>D&amp;A (est.)</t>
        </is>
      </c>
      <c r="E13" s="27">
        <f>'2_Assumptions'!C29</f>
        <v/>
      </c>
    </row>
    <row r="14">
      <c r="B14" s="23" t="inlineStr">
        <is>
          <t>Adj. EBITDA</t>
        </is>
      </c>
      <c r="E14" s="25">
        <f>E12+E13</f>
        <v/>
      </c>
    </row>
    <row r="15">
      <c r="B15" s="13" t="inlineStr">
        <is>
          <t>EBITDA margin</t>
        </is>
      </c>
      <c r="E15" s="32">
        <f>E14/E7</f>
        <v/>
      </c>
    </row>
    <row r="17" ht="22" customHeight="1">
      <c r="A17" s="12" t="inlineStr">
        <is>
          <t>H1 FY26 BALANCE SHEET SNAPSHOT (31 March 2026)</t>
        </is>
      </c>
    </row>
    <row r="18">
      <c r="B18" s="13" t="inlineStr">
        <is>
          <t>Cash and other cash investments</t>
        </is>
      </c>
      <c r="F18" s="27">
        <f>'2_Assumptions'!C15</f>
        <v/>
      </c>
    </row>
    <row r="19">
      <c r="B19" s="13" t="inlineStr">
        <is>
          <t>Debt (excluding lease liabilities)</t>
        </is>
      </c>
      <c r="F19" s="27">
        <f>'2_Assumptions'!C16</f>
        <v/>
      </c>
    </row>
    <row r="20">
      <c r="B20" s="23" t="inlineStr">
        <is>
          <t>Net cash excluding leases</t>
        </is>
      </c>
      <c r="F20" s="25">
        <f>F18+F19</f>
        <v/>
      </c>
    </row>
    <row r="21">
      <c r="B21" s="13" t="inlineStr">
        <is>
          <t>Lease liabilities</t>
        </is>
      </c>
      <c r="F21" s="27">
        <f>'2_Assumptions'!C17</f>
        <v/>
      </c>
    </row>
    <row r="22">
      <c r="B22" s="23" t="inlineStr">
        <is>
          <t>Net cash (all-in, IFRS 16)</t>
        </is>
      </c>
      <c r="F22" s="25">
        <f>F20+F21</f>
        <v/>
      </c>
    </row>
    <row r="23">
      <c r="B23" s="13" t="inlineStr">
        <is>
          <t>PPE (excluding RoU)</t>
        </is>
      </c>
      <c r="F23" s="27">
        <f>'2_Assumptions'!C18</f>
        <v/>
      </c>
    </row>
  </sheetData>
  <mergeCells count="2">
    <mergeCell ref="A5:G5"/>
    <mergeCell ref="A17:G17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2:H3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2">
      <c r="B2" s="3" t="inlineStr">
        <is>
          <t>FIVE-YEAR PROJECTIONS (FY26E-FY30E)</t>
        </is>
      </c>
    </row>
    <row r="5" ht="22" customHeight="1">
      <c r="A5" s="12" t="inlineStr">
        <is>
          <t>REVENUE AND PBT (£M)</t>
        </is>
      </c>
    </row>
    <row r="6">
      <c r="C6" s="19" t="inlineStr">
        <is>
          <t>FY25A</t>
        </is>
      </c>
      <c r="D6" s="19" t="inlineStr">
        <is>
          <t>FY26E</t>
        </is>
      </c>
      <c r="E6" s="19" t="inlineStr">
        <is>
          <t>FY27E</t>
        </is>
      </c>
      <c r="F6" s="19" t="inlineStr">
        <is>
          <t>FY28E</t>
        </is>
      </c>
      <c r="G6" s="19" t="inlineStr">
        <is>
          <t>FY29E</t>
        </is>
      </c>
      <c r="H6" s="19" t="inlineStr">
        <is>
          <t>FY30E</t>
        </is>
      </c>
    </row>
    <row r="7">
      <c r="B7" s="13" t="inlineStr">
        <is>
          <t>Group revenue</t>
        </is>
      </c>
      <c r="C7" s="27">
        <f>'5_Historical_Fin'!E7</f>
        <v/>
      </c>
      <c r="D7" s="16" t="n">
        <v>10700</v>
      </c>
      <c r="E7" s="16" t="n">
        <v>11450</v>
      </c>
      <c r="F7" s="16" t="n">
        <v>12250</v>
      </c>
      <c r="G7" s="16" t="n">
        <v>13000</v>
      </c>
      <c r="H7" s="16" t="n">
        <v>13750</v>
      </c>
    </row>
    <row r="8">
      <c r="B8" s="13" t="inlineStr">
        <is>
          <t>Growth YoY</t>
        </is>
      </c>
      <c r="D8" s="32">
        <f>D7/C7-1</f>
        <v/>
      </c>
      <c r="E8" s="32">
        <f>E7/D7-1</f>
        <v/>
      </c>
      <c r="F8" s="32">
        <f>F7/E7-1</f>
        <v/>
      </c>
      <c r="G8" s="32">
        <f>G7/F7-1</f>
        <v/>
      </c>
      <c r="H8" s="32">
        <f>H7/G7-1</f>
        <v/>
      </c>
    </row>
    <row r="10">
      <c r="B10" s="23" t="inlineStr">
        <is>
          <t>Ambition landing (% of £1B target)</t>
        </is>
      </c>
      <c r="H10" s="33">
        <f>'2_Assumptions'!C68/100</f>
        <v/>
      </c>
    </row>
    <row r="11">
      <c r="B11" s="13" t="inlineStr">
        <is>
          <t>Medium-term Group PBT target (£M)</t>
        </is>
      </c>
      <c r="H11" s="27">
        <f>'2_Assumptions'!C51</f>
        <v/>
      </c>
    </row>
    <row r="13">
      <c r="B13" s="13" t="inlineStr">
        <is>
          <t>Group headline PBT (management case × landing)</t>
        </is>
      </c>
      <c r="C13" s="16" t="n">
        <v>665</v>
      </c>
      <c r="D13" s="54">
        <f>'2_Assumptions'!C48</f>
        <v/>
      </c>
      <c r="E13" s="55">
        <f>D13+($H$11*$H$10-D13)*(1/4)</f>
        <v/>
      </c>
      <c r="F13" s="55">
        <f>D13+($H$11*$H$10-D13)*(2/4)</f>
        <v/>
      </c>
      <c r="G13" s="55">
        <f>D13+($H$11*$H$10-D13)*(3/4)</f>
        <v/>
      </c>
      <c r="H13" s="25">
        <f>$H$11*$H$10</f>
        <v/>
      </c>
    </row>
    <row r="14">
      <c r="B14" s="13" t="inlineStr">
        <is>
          <t>PBT margin</t>
        </is>
      </c>
      <c r="C14" s="32">
        <f>C13/C7</f>
        <v/>
      </c>
      <c r="D14" s="32">
        <f>D13/D7</f>
        <v/>
      </c>
      <c r="E14" s="32">
        <f>E13/E7</f>
        <v/>
      </c>
      <c r="F14" s="32">
        <f>F13/F7</f>
        <v/>
      </c>
      <c r="G14" s="32">
        <f>G13/G7</f>
        <v/>
      </c>
      <c r="H14" s="32">
        <f>H13/H7</f>
        <v/>
      </c>
    </row>
    <row r="15">
      <c r="B15" s="13" t="inlineStr">
        <is>
          <t>D&amp;A</t>
        </is>
      </c>
      <c r="C15" s="16" t="n">
        <v>617</v>
      </c>
      <c r="D15" s="16" t="n">
        <v>640</v>
      </c>
      <c r="E15" s="16" t="n">
        <v>700</v>
      </c>
      <c r="F15" s="16" t="n">
        <v>780</v>
      </c>
      <c r="G15" s="16" t="n">
        <v>850</v>
      </c>
      <c r="H15" s="16" t="n">
        <v>920</v>
      </c>
    </row>
    <row r="16">
      <c r="B16" s="13" t="inlineStr">
        <is>
          <t>Interest expense (LBO cap structure)</t>
        </is>
      </c>
      <c r="C16" s="54" t="n">
        <v>0</v>
      </c>
      <c r="D16" s="54" t="n">
        <v>0</v>
      </c>
      <c r="E16" s="56">
        <f>'7_Debt_Schedule'!E20</f>
        <v/>
      </c>
      <c r="F16" s="56">
        <f>'7_Debt_Schedule'!F20</f>
        <v/>
      </c>
      <c r="G16" s="56">
        <f>'7_Debt_Schedule'!G20</f>
        <v/>
      </c>
      <c r="H16" s="56">
        <f>'7_Debt_Schedule'!H20</f>
        <v/>
      </c>
    </row>
    <row r="17">
      <c r="B17" s="13" t="inlineStr">
        <is>
          <t>EBIT (PBT + Interest)</t>
        </is>
      </c>
      <c r="C17" s="22">
        <f>C13-C16</f>
        <v/>
      </c>
      <c r="D17" s="22">
        <f>D13-D16</f>
        <v/>
      </c>
      <c r="E17" s="22">
        <f>E13-E16</f>
        <v/>
      </c>
      <c r="F17" s="22">
        <f>F13-F16</f>
        <v/>
      </c>
      <c r="G17" s="22">
        <f>G13-G16</f>
        <v/>
      </c>
      <c r="H17" s="22">
        <f>H13-H16</f>
        <v/>
      </c>
    </row>
    <row r="18">
      <c r="B18" s="23" t="inlineStr">
        <is>
          <t>Adj EBITDA</t>
        </is>
      </c>
      <c r="C18" s="25">
        <f>C17+C15</f>
        <v/>
      </c>
      <c r="D18" s="25">
        <f>D17+D15</f>
        <v/>
      </c>
      <c r="E18" s="25">
        <f>E17+E15</f>
        <v/>
      </c>
      <c r="F18" s="25">
        <f>F17+F15</f>
        <v/>
      </c>
      <c r="G18" s="25">
        <f>G17+G15</f>
        <v/>
      </c>
      <c r="H18" s="25">
        <f>H17+H15</f>
        <v/>
      </c>
    </row>
    <row r="19">
      <c r="B19" s="13" t="inlineStr">
        <is>
          <t>EBITDA margin</t>
        </is>
      </c>
      <c r="C19" s="32">
        <f>C18/C7</f>
        <v/>
      </c>
      <c r="D19" s="32">
        <f>D18/D7</f>
        <v/>
      </c>
      <c r="E19" s="32">
        <f>E18/E7</f>
        <v/>
      </c>
      <c r="F19" s="32">
        <f>F18/F7</f>
        <v/>
      </c>
      <c r="G19" s="32">
        <f>G18/G7</f>
        <v/>
      </c>
      <c r="H19" s="32">
        <f>H18/H7</f>
        <v/>
      </c>
    </row>
    <row r="22" ht="22" customHeight="1">
      <c r="A22" s="12" t="inlineStr">
        <is>
          <t>FREE CASH FLOW BUILD (£M)</t>
        </is>
      </c>
    </row>
    <row r="23">
      <c r="B23" s="13" t="inlineStr">
        <is>
          <t>Adj EBITDA</t>
        </is>
      </c>
      <c r="C23" s="22">
        <f>C18</f>
        <v/>
      </c>
      <c r="D23" s="22">
        <f>D18</f>
        <v/>
      </c>
      <c r="E23" s="22">
        <f>E18</f>
        <v/>
      </c>
      <c r="F23" s="22">
        <f>F18</f>
        <v/>
      </c>
      <c r="G23" s="22">
        <f>G18</f>
        <v/>
      </c>
      <c r="H23" s="22">
        <f>H18</f>
        <v/>
      </c>
    </row>
    <row r="24">
      <c r="B24" s="13" t="inlineStr">
        <is>
          <t>Less: cash interest</t>
        </is>
      </c>
      <c r="C24" s="50">
        <f>C16</f>
        <v/>
      </c>
      <c r="D24" s="50">
        <f>D16</f>
        <v/>
      </c>
      <c r="E24" s="50">
        <f>E16</f>
        <v/>
      </c>
      <c r="F24" s="50">
        <f>F16</f>
        <v/>
      </c>
      <c r="G24" s="50">
        <f>G16</f>
        <v/>
      </c>
      <c r="H24" s="50">
        <f>H16</f>
        <v/>
      </c>
    </row>
    <row r="25">
      <c r="B25" s="13" t="inlineStr">
        <is>
          <t>Less: cash taxes (25% of positive PBT)</t>
        </is>
      </c>
      <c r="C25" s="50">
        <f>-MAX(C13,0)*'2_Assumptions'!C69/100</f>
        <v/>
      </c>
      <c r="D25" s="50">
        <f>-MAX(D13,0)*'2_Assumptions'!C69/100</f>
        <v/>
      </c>
      <c r="E25" s="50">
        <f>-MAX(E13,0)*'2_Assumptions'!C69/100</f>
        <v/>
      </c>
      <c r="F25" s="50">
        <f>-MAX(F13,0)*'2_Assumptions'!C69/100</f>
        <v/>
      </c>
      <c r="G25" s="50">
        <f>-MAX(G13,0)*'2_Assumptions'!C69/100</f>
        <v/>
      </c>
      <c r="H25" s="50">
        <f>-MAX(H13,0)*'2_Assumptions'!C69/100</f>
        <v/>
      </c>
    </row>
    <row r="26">
      <c r="B26" s="13" t="inlineStr">
        <is>
          <t>Less: maintenance capex (per aircraft × fleet size)</t>
        </is>
      </c>
      <c r="C26" s="49" t="n">
        <v>-350</v>
      </c>
      <c r="D26" s="49" t="n">
        <v>-400</v>
      </c>
      <c r="E26" s="49" t="n">
        <v>-430</v>
      </c>
      <c r="F26" s="49" t="n">
        <v>-455</v>
      </c>
      <c r="G26" s="49" t="n">
        <v>-475</v>
      </c>
      <c r="H26" s="49" t="n">
        <v>-490</v>
      </c>
    </row>
    <row r="27">
      <c r="B27" s="13" t="inlineStr">
        <is>
          <t>Less: change in NWC</t>
        </is>
      </c>
      <c r="C27" s="16" t="n">
        <v>-50</v>
      </c>
      <c r="D27" s="16" t="n">
        <v>-50</v>
      </c>
      <c r="E27" s="16" t="n">
        <v>-50</v>
      </c>
      <c r="F27" s="16" t="n">
        <v>-50</v>
      </c>
      <c r="G27" s="16" t="n">
        <v>-50</v>
      </c>
      <c r="H27" s="16" t="n">
        <v>-50</v>
      </c>
    </row>
    <row r="28">
      <c r="B28" s="23" t="inlineStr">
        <is>
          <t>FCF available for debt paydown</t>
        </is>
      </c>
      <c r="C28" s="25">
        <f>SUM(C23:C27)</f>
        <v/>
      </c>
      <c r="D28" s="25">
        <f>SUM(D23:D27)</f>
        <v/>
      </c>
      <c r="E28" s="25">
        <f>SUM(E23:E27)</f>
        <v/>
      </c>
      <c r="F28" s="25">
        <f>SUM(F23:F27)</f>
        <v/>
      </c>
      <c r="G28" s="25">
        <f>SUM(G23:G27)</f>
        <v/>
      </c>
      <c r="H28" s="25">
        <f>SUM(H23:H27)</f>
        <v/>
      </c>
    </row>
    <row r="29">
      <c r="B29" s="13" t="inlineStr">
        <is>
          <t>Memo: gross Airbus fleet capex (aircraft-financed separately)</t>
        </is>
      </c>
      <c r="C29" s="69" t="n">
        <v>-900</v>
      </c>
      <c r="D29" s="69" t="n">
        <v>-1700</v>
      </c>
      <c r="E29" s="69" t="n">
        <v>-2300</v>
      </c>
      <c r="F29" s="69" t="n">
        <v>-3300</v>
      </c>
      <c r="G29" s="69" t="n">
        <v>-2100</v>
      </c>
      <c r="H29" s="69" t="n">
        <v>-1800</v>
      </c>
    </row>
    <row r="30">
      <c r="B30" s="13" t="inlineStr">
        <is>
          <t>Memo: aircraft-secured debt drawdown (offsets fleet capex)</t>
        </is>
      </c>
      <c r="C30" s="69">
        <f>-C29</f>
        <v/>
      </c>
      <c r="D30" s="69">
        <f>-D29</f>
        <v/>
      </c>
      <c r="E30" s="69">
        <f>-E29</f>
        <v/>
      </c>
      <c r="F30" s="69">
        <f>-F29</f>
        <v/>
      </c>
      <c r="G30" s="69">
        <f>-G29</f>
        <v/>
      </c>
      <c r="H30" s="69">
        <f>-H29</f>
        <v/>
      </c>
    </row>
    <row r="31">
      <c r="B31" s="23" t="inlineStr">
        <is>
          <t>Memo: net fleet capex after aircraft financing</t>
        </is>
      </c>
      <c r="C31" s="70">
        <f>C29+C30</f>
        <v/>
      </c>
      <c r="D31" s="70">
        <f>D29+D30</f>
        <v/>
      </c>
      <c r="E31" s="70">
        <f>E29+E30</f>
        <v/>
      </c>
      <c r="F31" s="70">
        <f>F29+F30</f>
        <v/>
      </c>
      <c r="G31" s="70">
        <f>G29+G30</f>
        <v/>
      </c>
      <c r="H31" s="70">
        <f>H29+H30</f>
        <v/>
      </c>
    </row>
  </sheetData>
  <mergeCells count="2">
    <mergeCell ref="A22:H22"/>
    <mergeCell ref="A5:H5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2:H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2">
      <c r="B2" s="3" t="inlineStr">
        <is>
          <t>DEBT SCHEDULE — TRANCHE PAYDOWN AND INTEREST</t>
        </is>
      </c>
    </row>
    <row r="5" ht="22" customHeight="1">
      <c r="A5" s="12" t="inlineStr">
        <is>
          <t>TERM LOAN (aircraft-secured, SOFR + 425 bps)</t>
        </is>
      </c>
    </row>
    <row r="6">
      <c r="C6" s="19" t="inlineStr">
        <is>
          <t>Close</t>
        </is>
      </c>
      <c r="D6" s="19" t="inlineStr">
        <is>
          <t>FY26E</t>
        </is>
      </c>
      <c r="E6" s="19" t="inlineStr">
        <is>
          <t>FY27E</t>
        </is>
      </c>
      <c r="F6" s="19" t="inlineStr">
        <is>
          <t>FY28E</t>
        </is>
      </c>
      <c r="G6" s="19" t="inlineStr">
        <is>
          <t>FY29E</t>
        </is>
      </c>
      <c r="H6" s="19" t="inlineStr">
        <is>
          <t>FY30E</t>
        </is>
      </c>
    </row>
    <row r="7">
      <c r="B7" s="13" t="inlineStr">
        <is>
          <t>Beginning balance</t>
        </is>
      </c>
      <c r="C7" s="27">
        <f>'2_Assumptions'!C56</f>
        <v/>
      </c>
      <c r="D7" s="22">
        <f>C10</f>
        <v/>
      </c>
      <c r="E7" s="22">
        <f>D10</f>
        <v/>
      </c>
      <c r="F7" s="22">
        <f>E10</f>
        <v/>
      </c>
      <c r="G7" s="22">
        <f>F10</f>
        <v/>
      </c>
      <c r="H7" s="22">
        <f>G10</f>
        <v/>
      </c>
    </row>
    <row r="8">
      <c r="B8" s="13" t="inlineStr">
        <is>
          <t>Mandatory amort (1% p.a.)</t>
        </is>
      </c>
      <c r="D8" s="22">
        <f>-'2_Assumptions'!C56*0.01</f>
        <v/>
      </c>
      <c r="E8" s="22">
        <f>-'2_Assumptions'!C56*0.01</f>
        <v/>
      </c>
      <c r="F8" s="22">
        <f>-'2_Assumptions'!C56*0.01</f>
        <v/>
      </c>
      <c r="G8" s="22">
        <f>-'2_Assumptions'!C56*0.01</f>
        <v/>
      </c>
      <c r="H8" s="22">
        <f>-'2_Assumptions'!C56*0.01</f>
        <v/>
      </c>
    </row>
    <row r="9">
      <c r="B9" s="13" t="inlineStr">
        <is>
          <t>Cash sweep (from FCF)</t>
        </is>
      </c>
      <c r="D9" s="57">
        <f>-MAX(MIN('6_Projections'!D28+D8, D7+D8), 0)</f>
        <v/>
      </c>
      <c r="E9" s="57">
        <f>-MAX(MIN('6_Projections'!E28+E8, E7+E8), 0)</f>
        <v/>
      </c>
      <c r="F9" s="57">
        <f>-MAX(MIN('6_Projections'!F28+F8, F7+F8), 0)</f>
        <v/>
      </c>
      <c r="G9" s="57">
        <f>-MAX(MIN('6_Projections'!G28+G8, G7+G8), 0)</f>
        <v/>
      </c>
      <c r="H9" s="57">
        <f>-MAX(MIN('6_Projections'!H28+H8, H7+H8), 0)</f>
        <v/>
      </c>
    </row>
    <row r="10">
      <c r="B10" s="23" t="inlineStr">
        <is>
          <t>Ending balance</t>
        </is>
      </c>
      <c r="C10" s="22">
        <f>C7</f>
        <v/>
      </c>
      <c r="D10" s="25">
        <f>D7+D8+D9</f>
        <v/>
      </c>
      <c r="E10" s="25">
        <f>E7+E8+E9</f>
        <v/>
      </c>
      <c r="F10" s="25">
        <f>F7+F8+F9</f>
        <v/>
      </c>
      <c r="G10" s="25">
        <f>G7+G8+G9</f>
        <v/>
      </c>
      <c r="H10" s="25">
        <f>H7+H8+H9</f>
        <v/>
      </c>
    </row>
    <row r="11">
      <c r="B11" s="13" t="inlineStr">
        <is>
          <t>Interest (7.5% on avg)</t>
        </is>
      </c>
      <c r="D11" s="57">
        <f>-('2_Assumptions'!C57/100)*(D7+D10)/2</f>
        <v/>
      </c>
      <c r="E11" s="57">
        <f>-('2_Assumptions'!C57/100)*(E7+E10)/2</f>
        <v/>
      </c>
      <c r="F11" s="57">
        <f>-('2_Assumptions'!C57/100)*(F7+F10)/2</f>
        <v/>
      </c>
      <c r="G11" s="57">
        <f>-('2_Assumptions'!C57/100)*(G7+G10)/2</f>
        <v/>
      </c>
      <c r="H11" s="57">
        <f>-('2_Assumptions'!C57/100)*(H7+H10)/2</f>
        <v/>
      </c>
    </row>
    <row r="13" ht="22" customHeight="1">
      <c r="A13" s="12" t="inlineStr">
        <is>
          <t>HIGH-YIELD SENIOR NOTES (9% bullet)</t>
        </is>
      </c>
    </row>
    <row r="14">
      <c r="B14" s="13" t="inlineStr">
        <is>
          <t>Beginning balance</t>
        </is>
      </c>
      <c r="C14" s="27">
        <f>'2_Assumptions'!C58</f>
        <v/>
      </c>
      <c r="D14" s="27">
        <f>'2_Assumptions'!C58</f>
        <v/>
      </c>
      <c r="E14" s="27">
        <f>'2_Assumptions'!C58</f>
        <v/>
      </c>
      <c r="F14" s="27">
        <f>'2_Assumptions'!C58</f>
        <v/>
      </c>
      <c r="G14" s="27">
        <f>'2_Assumptions'!C58</f>
        <v/>
      </c>
      <c r="H14" s="27">
        <f>'2_Assumptions'!C58</f>
        <v/>
      </c>
    </row>
    <row r="15">
      <c r="B15" s="23" t="inlineStr">
        <is>
          <t>Ending balance</t>
        </is>
      </c>
      <c r="C15" s="25">
        <f>C14</f>
        <v/>
      </c>
      <c r="D15" s="25">
        <f>D14</f>
        <v/>
      </c>
      <c r="E15" s="25">
        <f>E14</f>
        <v/>
      </c>
      <c r="F15" s="25">
        <f>F14</f>
        <v/>
      </c>
      <c r="G15" s="25">
        <f>G14</f>
        <v/>
      </c>
      <c r="H15" s="25">
        <f>H14</f>
        <v/>
      </c>
    </row>
    <row r="16">
      <c r="B16" s="13" t="inlineStr">
        <is>
          <t>Interest (9% cash coupon)</t>
        </is>
      </c>
      <c r="D16" s="57">
        <f>-'2_Assumptions'!C59/100*D14</f>
        <v/>
      </c>
      <c r="E16" s="57">
        <f>-'2_Assumptions'!C59/100*E14</f>
        <v/>
      </c>
      <c r="F16" s="57">
        <f>-'2_Assumptions'!C59/100*F14</f>
        <v/>
      </c>
      <c r="G16" s="57">
        <f>-'2_Assumptions'!C59/100*G14</f>
        <v/>
      </c>
      <c r="H16" s="57">
        <f>-'2_Assumptions'!C59/100*H14</f>
        <v/>
      </c>
    </row>
    <row r="18" ht="22" customHeight="1">
      <c r="A18" s="12" t="inlineStr">
        <is>
          <t>TOTAL DEBT AND INTEREST</t>
        </is>
      </c>
    </row>
    <row r="19">
      <c r="B19" s="23" t="inlineStr">
        <is>
          <t>Total ending debt (ex-leases)</t>
        </is>
      </c>
      <c r="C19" s="25">
        <f>C10+C15</f>
        <v/>
      </c>
      <c r="D19" s="25">
        <f>D10+D15</f>
        <v/>
      </c>
      <c r="E19" s="25">
        <f>E10+E15</f>
        <v/>
      </c>
      <c r="F19" s="25">
        <f>F10+F15</f>
        <v/>
      </c>
      <c r="G19" s="25">
        <f>G10+G15</f>
        <v/>
      </c>
      <c r="H19" s="25">
        <f>H10+H15</f>
        <v/>
      </c>
    </row>
    <row r="20">
      <c r="B20" s="23" t="inlineStr">
        <is>
          <t>Total interest expense</t>
        </is>
      </c>
      <c r="D20" s="51">
        <f>D11+D16</f>
        <v/>
      </c>
      <c r="E20" s="51">
        <f>E11+E16</f>
        <v/>
      </c>
      <c r="F20" s="51">
        <f>F11+F16</f>
        <v/>
      </c>
      <c r="G20" s="51">
        <f>G11+G16</f>
        <v/>
      </c>
      <c r="H20" s="51">
        <f>H11+H16</f>
        <v/>
      </c>
    </row>
    <row r="21">
      <c r="B21" s="71" t="inlineStr">
        <is>
          <t>Total debt / EBITDA (traditional, on year's own EBITDA)</t>
        </is>
      </c>
      <c r="C21" s="28">
        <f>C19/'6_Projections'!C18</f>
        <v/>
      </c>
      <c r="D21" s="34">
        <f>D19/'6_Projections'!D18</f>
        <v/>
      </c>
      <c r="E21" s="34">
        <f>E19/'6_Projections'!E18</f>
        <v/>
      </c>
      <c r="F21" s="34">
        <f>F19/'6_Projections'!F18</f>
        <v/>
      </c>
      <c r="G21" s="34">
        <f>G19/'6_Projections'!G18</f>
        <v/>
      </c>
      <c r="H21" s="34">
        <f>H19/'6_Projections'!H18</f>
        <v/>
      </c>
    </row>
    <row r="22">
      <c r="B22" s="72" t="inlineStr">
        <is>
          <t>Total debt / FY25A EBITDA (pro-forma on trailing LTM)</t>
        </is>
      </c>
      <c r="C22" s="28">
        <f>C19/'6_Projections'!$C$18</f>
        <v/>
      </c>
      <c r="D22" s="28">
        <f>D19/'6_Projections'!$C$18</f>
        <v/>
      </c>
      <c r="E22" s="28">
        <f>E19/'6_Projections'!$C$18</f>
        <v/>
      </c>
      <c r="F22" s="28">
        <f>F19/'6_Projections'!$C$18</f>
        <v/>
      </c>
      <c r="G22" s="28">
        <f>G19/'6_Projections'!$C$18</f>
        <v/>
      </c>
      <c r="H22" s="28">
        <f>H19/'6_Projections'!$C$18</f>
        <v/>
      </c>
    </row>
    <row r="23">
      <c r="B23" s="72" t="inlineStr">
        <is>
          <t>Lease-adj debt / FY25A EBITDA (rating-agency basis)</t>
        </is>
      </c>
      <c r="C23" s="28">
        <f>(C19-'2_Assumptions'!C17)/'6_Projections'!$C$18</f>
        <v/>
      </c>
      <c r="D23" s="28">
        <f>(D19-'2_Assumptions'!C17)/'6_Projections'!$C$18</f>
        <v/>
      </c>
      <c r="E23" s="28">
        <f>(E19-'2_Assumptions'!C17)/'6_Projections'!$C$18</f>
        <v/>
      </c>
      <c r="F23" s="28">
        <f>(F19-'2_Assumptions'!C17)/'6_Projections'!$C$18</f>
        <v/>
      </c>
      <c r="G23" s="28">
        <f>(G19-'2_Assumptions'!C17)/'6_Projections'!$C$18</f>
        <v/>
      </c>
      <c r="H23" s="28">
        <f>(H19-'2_Assumptions'!C17)/'6_Projections'!$C$18</f>
        <v/>
      </c>
    </row>
  </sheetData>
  <mergeCells count="3">
    <mergeCell ref="A18:H18"/>
    <mergeCell ref="A13:H13"/>
    <mergeCell ref="A5:H5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2:C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4" customWidth="1" min="2" max="2"/>
    <col width="14" customWidth="1" min="3" max="3"/>
  </cols>
  <sheetData>
    <row r="2">
      <c r="B2" s="3" t="inlineStr">
        <is>
          <t>RETURNS WATERFALL — MOIC AND IRR</t>
        </is>
      </c>
    </row>
    <row r="5" ht="22" customHeight="1">
      <c r="A5" s="12" t="inlineStr">
        <is>
          <t>ENTRY — SPONSOR EQUITY CHECK</t>
        </is>
      </c>
    </row>
    <row r="6">
      <c r="B6" s="13" t="inlineStr">
        <is>
          <t>Sponsor equity check at close (£M)</t>
        </is>
      </c>
      <c r="C6" s="27">
        <f>'4_Sources_Uses'!C19</f>
        <v/>
      </c>
    </row>
    <row r="8" ht="22" customHeight="1">
      <c r="A8" s="12" t="inlineStr">
        <is>
          <t>EXIT — YEAR 5 (FY30E)</t>
        </is>
      </c>
    </row>
    <row r="9">
      <c r="B9" s="13" t="inlineStr">
        <is>
          <t>FY30E EBITDA</t>
        </is>
      </c>
      <c r="C9" s="27">
        <f>'6_Projections'!H18</f>
        <v/>
      </c>
    </row>
    <row r="10">
      <c r="B10" s="13" t="inlineStr">
        <is>
          <t>Exit EV/EBITDA multiple</t>
        </is>
      </c>
      <c r="C10" s="35">
        <f>'2_Assumptions'!C67</f>
        <v/>
      </c>
    </row>
    <row r="11">
      <c r="B11" s="23" t="inlineStr">
        <is>
          <t>Exit enterprise value</t>
        </is>
      </c>
      <c r="C11" s="25">
        <f>C9*C10</f>
        <v/>
      </c>
    </row>
    <row r="12">
      <c r="B12" s="13" t="inlineStr">
        <is>
          <t>Less: FY30 net debt</t>
        </is>
      </c>
      <c r="C12" s="50">
        <f>-'7_Debt_Schedule'!H19</f>
        <v/>
      </c>
    </row>
    <row r="13">
      <c r="B13" s="23" t="inlineStr">
        <is>
          <t>Exit equity value</t>
        </is>
      </c>
      <c r="C13" s="25">
        <f>C11+C12</f>
        <v/>
      </c>
    </row>
    <row r="15" ht="22" customHeight="1">
      <c r="A15" s="12" t="inlineStr">
        <is>
          <t>SPONSOR RETURN</t>
        </is>
      </c>
    </row>
    <row r="16">
      <c r="B16" s="13" t="inlineStr">
        <is>
          <t>Sponsor share of equity</t>
        </is>
      </c>
      <c r="C16" s="36" t="n">
        <v>1</v>
      </c>
    </row>
    <row r="17">
      <c r="B17" s="13" t="inlineStr">
        <is>
          <t>Sponsor exit proceeds</t>
        </is>
      </c>
      <c r="C17" s="22">
        <f>C13*C16</f>
        <v/>
      </c>
    </row>
    <row r="18">
      <c r="B18" s="23" t="inlineStr">
        <is>
          <t>MOIC</t>
        </is>
      </c>
      <c r="C18" s="28">
        <f>C17/C6</f>
        <v/>
      </c>
    </row>
    <row r="19">
      <c r="B19" s="13" t="inlineStr">
        <is>
          <t>Hold period (years)</t>
        </is>
      </c>
      <c r="C19" s="37">
        <f>'2_Assumptions'!C66</f>
        <v/>
      </c>
    </row>
    <row r="20">
      <c r="B20" s="23" t="inlineStr">
        <is>
          <t>IRR</t>
        </is>
      </c>
      <c r="C20" s="26">
        <f>(C18^(1/C19))-1</f>
        <v/>
      </c>
    </row>
  </sheetData>
  <mergeCells count="3">
    <mergeCell ref="A5:C5"/>
    <mergeCell ref="A8:C8"/>
    <mergeCell ref="A15:C15"/>
  </mergeCells>
  <printOptions horizontalCentered="1"/>
  <pageMargins left="0.4" right="0.4" top="0.5" bottom="0.4" header="0.5" footer="0.5"/>
  <pageSetup orientation="landscape" paperSize="9" fitToHeight="1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2:G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2">
      <c r="B2" s="3" t="inlineStr">
        <is>
          <t>SENSITIVITY — MOIC × EXIT × AMBITION LANDING</t>
        </is>
      </c>
    </row>
    <row r="3">
      <c r="B3" s="11" t="inlineStr">
        <is>
          <t>Illustrative. Rows: exit EV/EBITDA. Cols: % of £1B PBT ambition landing. 5-year hold.</t>
        </is>
      </c>
    </row>
    <row r="5" ht="22" customHeight="1">
      <c r="A5" s="12" t="inlineStr">
        <is>
          <t>MOIC</t>
        </is>
      </c>
    </row>
    <row r="6">
      <c r="C6" s="19" t="inlineStr">
        <is>
          <t>50%</t>
        </is>
      </c>
      <c r="D6" s="19" t="inlineStr">
        <is>
          <t>65%</t>
        </is>
      </c>
      <c r="E6" s="19" t="inlineStr">
        <is>
          <t>75%</t>
        </is>
      </c>
      <c r="F6" s="19" t="inlineStr">
        <is>
          <t>90%</t>
        </is>
      </c>
      <c r="G6" s="19" t="inlineStr">
        <is>
          <t>100%</t>
        </is>
      </c>
    </row>
    <row r="7">
      <c r="B7" s="23" t="inlineStr">
        <is>
          <t>4.0x</t>
        </is>
      </c>
      <c r="C7" s="38" t="n">
        <v>1.3</v>
      </c>
      <c r="D7" s="38" t="n">
        <v>1.5</v>
      </c>
      <c r="E7" s="38" t="n">
        <v>1.7</v>
      </c>
      <c r="F7" s="38" t="n">
        <v>1.9</v>
      </c>
      <c r="G7" s="38" t="n">
        <v>2.1</v>
      </c>
    </row>
    <row r="8">
      <c r="B8" s="23" t="inlineStr">
        <is>
          <t>4.5x</t>
        </is>
      </c>
      <c r="C8" s="38" t="n">
        <v>1.6</v>
      </c>
      <c r="D8" s="38" t="n">
        <v>1.9</v>
      </c>
      <c r="E8" s="38" t="n">
        <v>2.1</v>
      </c>
      <c r="F8" s="38" t="n">
        <v>2.4</v>
      </c>
      <c r="G8" s="38" t="n">
        <v>2.6</v>
      </c>
    </row>
    <row r="9">
      <c r="B9" s="23" t="inlineStr">
        <is>
          <t>5.0x</t>
        </is>
      </c>
      <c r="C9" s="38" t="n">
        <v>1.9</v>
      </c>
      <c r="D9" s="38" t="n">
        <v>2.2</v>
      </c>
      <c r="E9" s="38" t="n">
        <v>2.5</v>
      </c>
      <c r="F9" s="38" t="n">
        <v>2.8</v>
      </c>
      <c r="G9" s="38" t="n">
        <v>3.1</v>
      </c>
    </row>
    <row r="10">
      <c r="B10" s="23" t="inlineStr">
        <is>
          <t>5.5x</t>
        </is>
      </c>
      <c r="C10" s="38" t="n">
        <v>2.3</v>
      </c>
      <c r="D10" s="38" t="n">
        <v>2.6</v>
      </c>
      <c r="E10" s="38" t="n">
        <v>2.9</v>
      </c>
      <c r="F10" s="38" t="n">
        <v>3.3</v>
      </c>
      <c r="G10" s="38" t="n">
        <v>3.6</v>
      </c>
    </row>
    <row r="11">
      <c r="B11" s="23" t="inlineStr">
        <is>
          <t>6.0x</t>
        </is>
      </c>
      <c r="C11" s="38" t="n">
        <v>2.6</v>
      </c>
      <c r="D11" s="38" t="n">
        <v>3</v>
      </c>
      <c r="E11" s="38" t="n">
        <v>3.3</v>
      </c>
      <c r="F11" s="38" t="n">
        <v>3.7</v>
      </c>
      <c r="G11" s="38" t="n">
        <v>4.1</v>
      </c>
    </row>
    <row r="14" ht="22" customHeight="1">
      <c r="A14" s="12" t="inlineStr">
        <is>
          <t>IRR (5-year hold)</t>
        </is>
      </c>
    </row>
    <row r="15">
      <c r="C15" s="19" t="inlineStr">
        <is>
          <t>50%</t>
        </is>
      </c>
      <c r="D15" s="19" t="inlineStr">
        <is>
          <t>65%</t>
        </is>
      </c>
      <c r="E15" s="19" t="inlineStr">
        <is>
          <t>75%</t>
        </is>
      </c>
      <c r="F15" s="19" t="inlineStr">
        <is>
          <t>90%</t>
        </is>
      </c>
      <c r="G15" s="19" t="inlineStr">
        <is>
          <t>100%</t>
        </is>
      </c>
    </row>
    <row r="16">
      <c r="B16" s="23" t="inlineStr">
        <is>
          <t>4.0x</t>
        </is>
      </c>
      <c r="C16" s="26" t="n">
        <v>0.05</v>
      </c>
      <c r="D16" s="26" t="n">
        <v>0.09</v>
      </c>
      <c r="E16" s="26" t="n">
        <v>0.11</v>
      </c>
      <c r="F16" s="26" t="n">
        <v>0.14</v>
      </c>
      <c r="G16" s="26" t="n">
        <v>0.16</v>
      </c>
    </row>
    <row r="17">
      <c r="B17" s="23" t="inlineStr">
        <is>
          <t>4.5x</t>
        </is>
      </c>
      <c r="C17" s="26" t="n">
        <v>0.1</v>
      </c>
      <c r="D17" s="26" t="n">
        <v>0.14</v>
      </c>
      <c r="E17" s="26" t="n">
        <v>0.16</v>
      </c>
      <c r="F17" s="26" t="n">
        <v>0.19</v>
      </c>
      <c r="G17" s="26" t="n">
        <v>0.21</v>
      </c>
    </row>
    <row r="18">
      <c r="B18" s="23" t="inlineStr">
        <is>
          <t>5.0x</t>
        </is>
      </c>
      <c r="C18" s="26" t="n">
        <v>0.14</v>
      </c>
      <c r="D18" s="26" t="n">
        <v>0.17</v>
      </c>
      <c r="E18" s="26" t="n">
        <v>0.2</v>
      </c>
      <c r="F18" s="26" t="n">
        <v>0.23</v>
      </c>
      <c r="G18" s="26" t="n">
        <v>0.25</v>
      </c>
    </row>
    <row r="19">
      <c r="B19" s="23" t="inlineStr">
        <is>
          <t>5.5x</t>
        </is>
      </c>
      <c r="C19" s="26" t="n">
        <v>0.18</v>
      </c>
      <c r="D19" s="26" t="n">
        <v>0.21</v>
      </c>
      <c r="E19" s="26" t="n">
        <v>0.24</v>
      </c>
      <c r="F19" s="26" t="n">
        <v>0.27</v>
      </c>
      <c r="G19" s="26" t="n">
        <v>0.29</v>
      </c>
    </row>
    <row r="20">
      <c r="B20" s="23" t="inlineStr">
        <is>
          <t>6.0x</t>
        </is>
      </c>
      <c r="C20" s="26" t="n">
        <v>0.21</v>
      </c>
      <c r="D20" s="26" t="n">
        <v>0.24</v>
      </c>
      <c r="E20" s="26" t="n">
        <v>0.27</v>
      </c>
      <c r="F20" s="26" t="n">
        <v>0.3</v>
      </c>
      <c r="G20" s="26" t="n">
        <v>0.33</v>
      </c>
    </row>
  </sheetData>
  <mergeCells count="2">
    <mergeCell ref="A14:G14"/>
    <mergeCell ref="A5:G5"/>
  </mergeCells>
  <printOptions horizontalCentered="1"/>
  <pageMargins left="0.4" right="0.4" top="0.5" bottom="0.4" header="0.5" footer="0.5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2026-07-12T03:13:13Z</dcterms:created>
  <dcterms:modified xmlns:dcterms="http://purl.org/dc/terms/" xmlns:xsi="http://www.w3.org/2001/XMLSchema-instance" xsi:type="dcterms:W3CDTF">2026-07-12T04:13:55Z</dcterms:modified>
</cp:coreProperties>
</file>