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worksheets/sheet6.xml" ContentType="application/vnd.openxmlformats-officedocument.spreadsheetml.worksheet+xml"/>
  <Override PartName="/xl/drawings/drawing3.xml" ContentType="application/vnd.openxmlformats-officedocument.drawing+xml"/>
  <Override PartName="/xl/worksheets/sheet7.xml" ContentType="application/vnd.openxmlformats-officedocument.spreadsheetml.worksheet+xml"/>
  <Override PartName="/xl/drawings/drawing4.xml" ContentType="application/vnd.openxmlformats-officedocument.drawing+xml"/>
  <Override PartName="/xl/worksheets/sheet8.xml" ContentType="application/vnd.openxmlformats-officedocument.spreadsheetml.worksheet+xml"/>
  <Override PartName="/xl/drawings/drawing5.xml" ContentType="application/vnd.openxmlformats-officedocument.drawing+xml"/>
  <Override PartName="/xl/worksheets/sheet9.xml" ContentType="application/vnd.openxmlformats-officedocument.spreadsheetml.worksheet+xml"/>
  <Override PartName="/xl/drawings/drawing6.xml" ContentType="application/vnd.openxmlformats-officedocument.drawing+xml"/>
  <Override PartName="/xl/worksheets/sheet10.xml" ContentType="application/vnd.openxmlformats-officedocument.spreadsheetml.worksheet+xml"/>
  <Override PartName="/xl/drawings/drawing7.xml" ContentType="application/vnd.openxmlformats-officedocument.drawing+xml"/>
  <Override PartName="/xl/worksheets/sheet11.xml" ContentType="application/vnd.openxmlformats-officedocument.spreadsheetml.worksheet+xml"/>
  <Override PartName="/xl/drawings/drawing8.xml" ContentType="application/vnd.openxmlformats-officedocument.drawing+xml"/>
  <Override PartName="/xl/worksheets/sheet12.xml" ContentType="application/vnd.openxmlformats-officedocument.spreadsheetml.worksheet+xml"/>
  <Override PartName="/xl/drawings/drawing9.xml" ContentType="application/vnd.openxmlformats-officedocument.drawing+xml"/>
  <Override PartName="/xl/worksheets/sheet13.xml" ContentType="application/vnd.openxmlformats-officedocument.spreadsheetml.worksheet+xml"/>
  <Override PartName="/xl/drawings/drawing10.xml" ContentType="application/vnd.openxmlformats-officedocument.drawing+xml"/>
  <Override PartName="/xl/worksheets/sheet14.xml" ContentType="application/vnd.openxmlformats-officedocument.spreadsheetml.worksheet+xml"/>
  <Override PartName="/xl/drawings/drawing11.xml" ContentType="application/vnd.openxmlformats-officedocument.drawing+xml"/>
  <Override PartName="/xl/worksheets/sheet15.xml" ContentType="application/vnd.openxmlformats-officedocument.spreadsheetml.worksheet+xml"/>
  <Override PartName="/xl/drawings/drawing12.xml" ContentType="application/vnd.openxmlformats-officedocument.drawing+xml"/>
  <Override PartName="/xl/worksheets/sheet16.xml" ContentType="application/vnd.openxmlformats-officedocument.spreadsheetml.worksheet+xml"/>
  <Override PartName="/xl/drawings/drawing13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00_Baratelli_Toolkit" sheetId="1" state="visible" r:id="rId1"/>
    <sheet xmlns:r="http://schemas.openxmlformats.org/officeDocument/2006/relationships" name="TOC" sheetId="2" state="visible" r:id="rId2"/>
    <sheet xmlns:r="http://schemas.openxmlformats.org/officeDocument/2006/relationships" name="INDEX" sheetId="3" state="visible" r:id="rId3"/>
    <sheet xmlns:r="http://schemas.openxmlformats.org/officeDocument/2006/relationships" name="ASSUMPTIONS" sheetId="4" state="visible" r:id="rId4"/>
    <sheet xmlns:r="http://schemas.openxmlformats.org/officeDocument/2006/relationships" name="DHR_STANDALONE" sheetId="5" state="visible" r:id="rId5"/>
    <sheet xmlns:r="http://schemas.openxmlformats.org/officeDocument/2006/relationships" name="SEGMENT_BUILD" sheetId="6" state="visible" r:id="rId6"/>
    <sheet xmlns:r="http://schemas.openxmlformats.org/officeDocument/2006/relationships" name="ACQ_RECORD" sheetId="7" state="visible" r:id="rId7"/>
    <sheet xmlns:r="http://schemas.openxmlformats.org/officeDocument/2006/relationships" name="DBS_METRICS" sheetId="8" state="visible" r:id="rId8"/>
    <sheet xmlns:r="http://schemas.openxmlformats.org/officeDocument/2006/relationships" name="SPINOFF_DATA" sheetId="9" state="visible" r:id="rId9"/>
    <sheet xmlns:r="http://schemas.openxmlformats.org/officeDocument/2006/relationships" name="SOTP_4WAY" sheetId="10" state="visible" r:id="rId10"/>
    <sheet xmlns:r="http://schemas.openxmlformats.org/officeDocument/2006/relationships" name="PEER_COMPS" sheetId="11" state="visible" r:id="rId11"/>
    <sheet xmlns:r="http://schemas.openxmlformats.org/officeDocument/2006/relationships" name="DCF_VALUATION" sheetId="12" state="visible" r:id="rId12"/>
    <sheet xmlns:r="http://schemas.openxmlformats.org/officeDocument/2006/relationships" name="MULTIPLE_SENS" sheetId="13" state="visible" r:id="rId13"/>
    <sheet xmlns:r="http://schemas.openxmlformats.org/officeDocument/2006/relationships" name="CYTIVA_PLATFORM" sheetId="14" state="visible" r:id="rId14"/>
    <sheet xmlns:r="http://schemas.openxmlformats.org/officeDocument/2006/relationships" name="DBS_PREMIUM" sheetId="15" state="visible" r:id="rId15"/>
    <sheet xmlns:r="http://schemas.openxmlformats.org/officeDocument/2006/relationships" name="RISK_SCENARIOS" sheetId="16" state="visible" r:id="rId16"/>
    <sheet xmlns:r="http://schemas.openxmlformats.org/officeDocument/2006/relationships" name="DBS_MECHANICS" sheetId="17" state="visible" r:id="rId17"/>
    <sheet xmlns:r="http://schemas.openxmlformats.org/officeDocument/2006/relationships" name="THREE_SEGMENTS" sheetId="18" state="visible" r:id="rId18"/>
    <sheet xmlns:r="http://schemas.openxmlformats.org/officeDocument/2006/relationships" name="SPINOFF_IMPACT" sheetId="19" state="visible" r:id="rId19"/>
    <sheet xmlns:r="http://schemas.openxmlformats.org/officeDocument/2006/relationships" name="RALES_OWNERSHIP" sheetId="20" state="visible" r:id="rId20"/>
    <sheet xmlns:r="http://schemas.openxmlformats.org/officeDocument/2006/relationships" name="CULP_COMPARISON" sheetId="21" state="visible" r:id="rId21"/>
    <sheet xmlns:r="http://schemas.openxmlformats.org/officeDocument/2006/relationships" name="COMPOUNDER_TAX" sheetId="22" state="visible" r:id="rId22"/>
    <sheet xmlns:r="http://schemas.openxmlformats.org/officeDocument/2006/relationships" name="3STMT_ASSUMPTIONS" sheetId="23" state="visible" r:id="rId23"/>
    <sheet xmlns:r="http://schemas.openxmlformats.org/officeDocument/2006/relationships" name="3STMT_IS" sheetId="24" state="visible" r:id="rId24"/>
    <sheet xmlns:r="http://schemas.openxmlformats.org/officeDocument/2006/relationships" name="3STMT_BS" sheetId="25" state="visible" r:id="rId25"/>
    <sheet xmlns:r="http://schemas.openxmlformats.org/officeDocument/2006/relationships" name="3STMT_CF" sheetId="26" state="visible" r:id="rId26"/>
    <sheet xmlns:r="http://schemas.openxmlformats.org/officeDocument/2006/relationships" name="3STMT_WC" sheetId="27" state="visible" r:id="rId27"/>
    <sheet xmlns:r="http://schemas.openxmlformats.org/officeDocument/2006/relationships" name="3STMT_DEBT" sheetId="28" state="visible" r:id="rId28"/>
    <sheet xmlns:r="http://schemas.openxmlformats.org/officeDocument/2006/relationships" name="3STMT_RECON" sheetId="29" state="visible" r:id="rId29"/>
    <sheet xmlns:r="http://schemas.openxmlformats.org/officeDocument/2006/relationships" name="3STMT_COVENANTS" sheetId="30" state="visible" r:id="rId30"/>
  </sheets>
  <definedNames>
    <definedName name="_xlnm.Print_Titles" localSheetId="1">'TOC'!$1:$3</definedName>
    <definedName name="_xlnm.Print_Area" localSheetId="1">'TOC'!$A$1:$D$32</definedName>
    <definedName name="_xlnm.Print_Titles" localSheetId="2">'INDEX'!$1:$3</definedName>
    <definedName name="_xlnm.Print_Area" localSheetId="2">'INDEX'!$A$1:$D$31</definedName>
    <definedName name="_xlnm.Print_Titles" localSheetId="3">'ASSUMPTIONS'!$1:$3</definedName>
    <definedName name="_xlnm.Print_Area" localSheetId="3">'ASSUMPTIONS'!$A$1:$E$36</definedName>
    <definedName name="_xlnm.Print_Titles" localSheetId="4">'DHR_STANDALONE'!$1:$3</definedName>
    <definedName name="_xlnm.Print_Area" localSheetId="4">'DHR_STANDALONE'!$A$1:$I$27</definedName>
    <definedName name="_xlnm.Print_Titles" localSheetId="5">'SEGMENT_BUILD'!$1:$3</definedName>
    <definedName name="_xlnm.Print_Area" localSheetId="5">'SEGMENT_BUILD'!$A$1:$H$17</definedName>
    <definedName name="_xlnm.Print_Titles" localSheetId="6">'ACQ_RECORD'!$1:$3</definedName>
    <definedName name="_xlnm.Print_Area" localSheetId="6">'ACQ_RECORD'!$A$1:$F$21</definedName>
    <definedName name="_xlnm.Print_Titles" localSheetId="7">'DBS_METRICS'!$1:$3</definedName>
    <definedName name="_xlnm.Print_Area" localSheetId="7">'DBS_METRICS'!$A$1:$E$20</definedName>
    <definedName name="_xlnm.Print_Titles" localSheetId="8">'SPINOFF_DATA'!$1:$3</definedName>
    <definedName name="_xlnm.Print_Area" localSheetId="8">'SPINOFF_DATA'!$A$1:$H$17</definedName>
    <definedName name="_xlnm.Print_Titles" localSheetId="9">'SOTP_4WAY'!$1:$3</definedName>
    <definedName name="_xlnm.Print_Area" localSheetId="9">'SOTP_4WAY'!$A$1:$I$19</definedName>
    <definedName name="_xlnm.Print_Titles" localSheetId="10">'PEER_COMPS'!$1:$3</definedName>
    <definedName name="_xlnm.Print_Area" localSheetId="10">'PEER_COMPS'!$A$1:$J$17</definedName>
    <definedName name="_xlnm.Print_Titles" localSheetId="11">'DCF_VALUATION'!$1:$3</definedName>
    <definedName name="_xlnm.Print_Area" localSheetId="11">'DCF_VALUATION'!$A$1:$H$25</definedName>
    <definedName name="_xlnm.Print_Titles" localSheetId="12">'MULTIPLE_SENS'!$1:$3</definedName>
    <definedName name="_xlnm.Print_Area" localSheetId="12">'MULTIPLE_SENS'!$A$1:$G$17</definedName>
    <definedName name="_xlnm.Print_Titles" localSheetId="13">'CYTIVA_PLATFORM'!$1:$3</definedName>
    <definedName name="_xlnm.Print_Area" localSheetId="13">'CYTIVA_PLATFORM'!$A$1:$E$26</definedName>
    <definedName name="_xlnm.Print_Titles" localSheetId="14">'DBS_PREMIUM'!$1:$3</definedName>
    <definedName name="_xlnm.Print_Area" localSheetId="14">'DBS_PREMIUM'!$A$1:$F$22</definedName>
    <definedName name="_xlnm.Print_Titles" localSheetId="15">'RISK_SCENARIOS'!$1:$3</definedName>
    <definedName name="_xlnm.Print_Area" localSheetId="15">'RISK_SCENARIOS'!$A$1:$G$16</definedName>
    <definedName name="_xlnm.Print_Titles" localSheetId="16">'DBS_MECHANICS'!$1:$3</definedName>
    <definedName name="_xlnm.Print_Area" localSheetId="16">'DBS_MECHANICS'!$A$1:$F$32</definedName>
    <definedName name="_xlnm.Print_Titles" localSheetId="17">'THREE_SEGMENTS'!$1:$3</definedName>
    <definedName name="_xlnm.Print_Area" localSheetId="17">'THREE_SEGMENTS'!$A$1:$F$18</definedName>
    <definedName name="_xlnm.Print_Titles" localSheetId="18">'SPINOFF_IMPACT'!$1:$3</definedName>
    <definedName name="_xlnm.Print_Area" localSheetId="18">'SPINOFF_IMPACT'!$A$1:$G$29</definedName>
    <definedName name="_xlnm.Print_Titles" localSheetId="19">'RALES_OWNERSHIP'!$1:$3</definedName>
    <definedName name="_xlnm.Print_Area" localSheetId="19">'RALES_OWNERSHIP'!$A$1:$F$31</definedName>
    <definedName name="_xlnm.Print_Titles" localSheetId="20">'CULP_COMPARISON'!$1:$3</definedName>
    <definedName name="_xlnm.Print_Area" localSheetId="20">'CULP_COMPARISON'!$A$1:$E$22</definedName>
    <definedName name="_xlnm.Print_Titles" localSheetId="21">'COMPOUNDER_TAX'!$1:$3</definedName>
    <definedName name="_xlnm.Print_Area" localSheetId="21">'COMPOUNDER_TAX'!$A$1:$F$21</definedName>
    <definedName name="_xlnm.Print_Titles" localSheetId="22">'3STMT_ASSUMPTIONS'!$1:$3</definedName>
    <definedName name="_xlnm.Print_Area" localSheetId="22">'3STMT_ASSUMPTIONS'!$A$1:$K$64</definedName>
    <definedName name="_xlnm.Print_Titles" localSheetId="23">'3STMT_IS'!$1:$3</definedName>
    <definedName name="_xlnm.Print_Area" localSheetId="23">'3STMT_IS'!$A$1:$K$35</definedName>
    <definedName name="_xlnm.Print_Titles" localSheetId="24">'3STMT_BS'!$1:$3</definedName>
    <definedName name="_xlnm.Print_Area" localSheetId="24">'3STMT_BS'!$A$1:$K$38</definedName>
    <definedName name="_xlnm.Print_Titles" localSheetId="25">'3STMT_CF'!$1:$3</definedName>
    <definedName name="_xlnm.Print_Area" localSheetId="25">'3STMT_CF'!$A$1:$K$36</definedName>
    <definedName name="_xlnm.Print_Titles" localSheetId="26">'3STMT_WC'!$1:$3</definedName>
    <definedName name="_xlnm.Print_Area" localSheetId="26">'3STMT_WC'!$A$1:$K$17</definedName>
    <definedName name="_xlnm.Print_Titles" localSheetId="27">'3STMT_DEBT'!$1:$3</definedName>
    <definedName name="_xlnm.Print_Area" localSheetId="27">'3STMT_DEBT'!$A$1:$K$41</definedName>
    <definedName name="_xlnm.Print_Titles" localSheetId="28">'3STMT_RECON'!$1:$3</definedName>
    <definedName name="_xlnm.Print_Area" localSheetId="28">'3STMT_RECON'!$A$1:$K$30</definedName>
    <definedName name="_xlnm.Print_Titles" localSheetId="29">'3STMT_COVENANTS'!$1:$3</definedName>
    <definedName name="_xlnm.Print_Area" localSheetId="29">'3STMT_COVENANTS'!$A$1:$K$26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#,##0.0;\(#,##0.0\);\-"/>
  </numFmts>
  <fonts count="23">
    <font>
      <name val="Calibri"/>
      <charset val="1"/>
      <family val="0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libri"/>
      <charset val="1"/>
      <family val="0"/>
      <color rgb="FF0000FF"/>
      <sz val="11"/>
    </font>
    <font>
      <name val="Calibri"/>
      <color rgb="000000FF"/>
      <sz val="10"/>
    </font>
    <font>
      <name val="Calibri"/>
      <color rgb="00000000"/>
      <sz val="10"/>
    </font>
    <font>
      <name val="Calibri"/>
      <color rgb="00006100"/>
      <sz val="10"/>
    </font>
    <font>
      <name val="Calibri"/>
      <b val="1"/>
      <color rgb="00FFFFFF"/>
      <sz val="16"/>
    </font>
    <font>
      <name val="Calibri"/>
      <i val="1"/>
      <color rgb="000D2747"/>
      <sz val="11"/>
    </font>
    <font>
      <name val="Calibri"/>
      <color rgb="001E1E1E"/>
      <sz val="11"/>
    </font>
    <font>
      <name val="Calibri"/>
      <b val="1"/>
      <color rgb="00C89000"/>
      <sz val="12"/>
    </font>
    <font>
      <name val="Calibri"/>
      <color rgb="001E1E1E"/>
      <sz val="10"/>
    </font>
    <font>
      <name val="Calibri"/>
      <b val="1"/>
      <color rgb="000D2747"/>
      <sz val="18"/>
    </font>
    <font>
      <name val="Calibri"/>
      <b val="1"/>
      <color rgb="000D2747"/>
      <sz val="12"/>
      <u val="single"/>
    </font>
    <font>
      <name val="Calibri"/>
      <i val="1"/>
      <color rgb="000D2747"/>
      <sz val="10"/>
    </font>
    <font>
      <name val="Calibri"/>
      <b val="1"/>
      <color rgb="00C89000"/>
      <sz val="10"/>
      <u val="single"/>
    </font>
    <font>
      <name val="Calibri"/>
      <i val="1"/>
      <color rgb="001A1A1A"/>
      <sz val="11"/>
    </font>
    <font>
      <name val="Calibri"/>
      <color rgb="001A1A1A"/>
      <sz val="11"/>
    </font>
    <font>
      <name val="Calibri"/>
      <b val="1"/>
      <color rgb="00C9A227"/>
      <sz val="12"/>
    </font>
    <font>
      <name val="Calibri"/>
      <b val="1"/>
      <color rgb="000D2747"/>
      <sz val="24"/>
    </font>
    <font>
      <name val="Calibri"/>
      <i val="1"/>
      <color rgb="001A1A1A"/>
      <sz val="10"/>
    </font>
    <font>
      <name val="Calibri"/>
      <b val="1"/>
      <color rgb="00C9A227"/>
      <sz val="10"/>
      <u val="single"/>
    </font>
  </fonts>
  <fills count="6">
    <fill>
      <patternFill/>
    </fill>
    <fill>
      <patternFill patternType="gray125"/>
    </fill>
    <fill>
      <patternFill patternType="solid">
        <fgColor rgb="000D2747"/>
        <bgColor rgb="000D2747"/>
      </patternFill>
    </fill>
    <fill>
      <patternFill patternType="solid">
        <fgColor rgb="00FBF7EC"/>
        <bgColor rgb="00FBF7EC"/>
      </patternFill>
    </fill>
    <fill>
      <patternFill patternType="solid">
        <fgColor rgb="00C89000"/>
        <bgColor rgb="00C89000"/>
      </patternFill>
    </fill>
    <fill>
      <patternFill patternType="solid">
        <fgColor rgb="00C9A227"/>
        <bgColor rgb="00C9A227"/>
      </patternFill>
    </fill>
  </fills>
  <borders count="1">
    <border>
      <left/>
      <right/>
      <top/>
      <bottom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29">
    <xf numFmtId="0" fontId="0" fillId="0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  <xf numFmtId="164" fontId="4" fillId="0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164" fontId="4" fillId="0" borderId="0" applyAlignment="1" pivotButton="0" quotePrefix="0" xfId="0">
      <alignment horizontal="general" vertical="bottom"/>
    </xf>
    <xf numFmtId="164" fontId="5" fillId="0" borderId="0" applyAlignment="1" pivotButton="0" quotePrefix="0" xfId="0">
      <alignment horizontal="general" vertical="bottom"/>
    </xf>
    <xf numFmtId="164" fontId="6" fillId="0" borderId="0" applyAlignment="1" pivotButton="0" quotePrefix="0" xfId="0">
      <alignment horizontal="general" vertical="bottom"/>
    </xf>
    <xf numFmtId="164" fontId="7" fillId="0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center" vertical="center" wrapText="1"/>
    </xf>
    <xf numFmtId="0" fontId="9" fillId="3" borderId="0" applyAlignment="1" pivotButton="0" quotePrefix="0" xfId="0">
      <alignment horizontal="center" vertical="center" wrapText="1"/>
    </xf>
    <xf numFmtId="0" fontId="10" fillId="3" borderId="0" applyAlignment="1" pivotButton="0" quotePrefix="0" xfId="0">
      <alignment horizontal="center" vertical="center" wrapText="1"/>
    </xf>
    <xf numFmtId="0" fontId="11" fillId="2" borderId="0" applyAlignment="1" pivotButton="0" quotePrefix="0" xfId="0">
      <alignment horizontal="center" vertical="center" wrapText="1"/>
    </xf>
    <xf numFmtId="0" fontId="12" fillId="3" borderId="0" applyAlignment="1" pivotButton="0" quotePrefix="0" xfId="0">
      <alignment horizontal="left" vertical="center" wrapText="1" indent="1"/>
    </xf>
    <xf numFmtId="0" fontId="12" fillId="3" borderId="0" applyAlignment="1" pivotButton="0" quotePrefix="0" xfId="0">
      <alignment horizontal="center" vertical="center" wrapText="1"/>
    </xf>
    <xf numFmtId="0" fontId="13" fillId="4" borderId="0" applyAlignment="1" pivotButton="0" quotePrefix="0" xfId="0">
      <alignment horizontal="center" vertical="center" wrapText="1"/>
    </xf>
    <xf numFmtId="0" fontId="14" fillId="3" borderId="0" applyAlignment="1" pivotButton="0" quotePrefix="0" xfId="0">
      <alignment horizontal="center" vertical="center" wrapText="1"/>
    </xf>
    <xf numFmtId="0" fontId="15" fillId="3" borderId="0" applyAlignment="1" pivotButton="0" quotePrefix="0" xfId="0">
      <alignment horizontal="center" vertical="center" wrapText="1"/>
    </xf>
    <xf numFmtId="0" fontId="16" fillId="3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center" vertical="center"/>
    </xf>
    <xf numFmtId="0" fontId="17" fillId="3" borderId="0" applyAlignment="1" pivotButton="0" quotePrefix="0" xfId="0">
      <alignment horizontal="center" vertical="center"/>
    </xf>
    <xf numFmtId="0" fontId="18" fillId="0" borderId="0" applyAlignment="1" pivotButton="0" quotePrefix="0" xfId="0">
      <alignment horizontal="center" vertical="center" wrapText="1"/>
    </xf>
    <xf numFmtId="0" fontId="19" fillId="2" borderId="0" applyAlignment="1" pivotButton="0" quotePrefix="0" xfId="0">
      <alignment horizontal="center" vertical="center"/>
    </xf>
    <xf numFmtId="0" fontId="17" fillId="0" borderId="0" applyAlignment="1" pivotButton="0" quotePrefix="0" xfId="0">
      <alignment horizontal="center" vertical="center"/>
    </xf>
    <xf numFmtId="0" fontId="20" fillId="5" borderId="0" applyAlignment="1" pivotButton="0" quotePrefix="0" xfId="0">
      <alignment horizontal="center" vertical="center"/>
    </xf>
    <xf numFmtId="0" fontId="14" fillId="3" borderId="0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0" fontId="22" fillId="3" borderId="0" applyAlignment="1" pivotButton="0" quotePrefix="0" xfId="0">
      <alignment horizontal="center" vertical="center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C89000"/>
      <rgbColor rgb="FFFF6600"/>
      <rgbColor rgb="FF666699"/>
      <rgbColor rgb="FF969696"/>
      <rgbColor rgb="FF0A1F3A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worksheet" Target="/xl/worksheets/sheet17.xml" Id="rId17"/><Relationship Type="http://schemas.openxmlformats.org/officeDocument/2006/relationships/worksheet" Target="/xl/worksheets/sheet18.xml" Id="rId18"/><Relationship Type="http://schemas.openxmlformats.org/officeDocument/2006/relationships/worksheet" Target="/xl/worksheets/sheet19.xml" Id="rId19"/><Relationship Type="http://schemas.openxmlformats.org/officeDocument/2006/relationships/worksheet" Target="/xl/worksheets/sheet20.xml" Id="rId20"/><Relationship Type="http://schemas.openxmlformats.org/officeDocument/2006/relationships/worksheet" Target="/xl/worksheets/sheet21.xml" Id="rId21"/><Relationship Type="http://schemas.openxmlformats.org/officeDocument/2006/relationships/worksheet" Target="/xl/worksheets/sheet22.xml" Id="rId22"/><Relationship Type="http://schemas.openxmlformats.org/officeDocument/2006/relationships/worksheet" Target="/xl/worksheets/sheet23.xml" Id="rId23"/><Relationship Type="http://schemas.openxmlformats.org/officeDocument/2006/relationships/worksheet" Target="/xl/worksheets/sheet24.xml" Id="rId24"/><Relationship Type="http://schemas.openxmlformats.org/officeDocument/2006/relationships/worksheet" Target="/xl/worksheets/sheet25.xml" Id="rId25"/><Relationship Type="http://schemas.openxmlformats.org/officeDocument/2006/relationships/worksheet" Target="/xl/worksheets/sheet26.xml" Id="rId26"/><Relationship Type="http://schemas.openxmlformats.org/officeDocument/2006/relationships/worksheet" Target="/xl/worksheets/sheet27.xml" Id="rId27"/><Relationship Type="http://schemas.openxmlformats.org/officeDocument/2006/relationships/worksheet" Target="/xl/worksheets/sheet28.xml" Id="rId28"/><Relationship Type="http://schemas.openxmlformats.org/officeDocument/2006/relationships/worksheet" Target="/xl/worksheets/sheet29.xml" Id="rId29"/><Relationship Type="http://schemas.openxmlformats.org/officeDocument/2006/relationships/worksheet" Target="/xl/worksheets/sheet30.xml" Id="rId30"/><Relationship Type="http://schemas.openxmlformats.org/officeDocument/2006/relationships/styles" Target="styles.xml" Id="rId31"/><Relationship Type="http://schemas.openxmlformats.org/officeDocument/2006/relationships/theme" Target="theme/theme1.xml" Id="rId32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_rels/drawing10.xml.rels><Relationships xmlns="http://schemas.openxmlformats.org/package/2006/relationships"><Relationship Type="http://schemas.openxmlformats.org/officeDocument/2006/relationships/image" Target="/xl/media/image10.png" Id="rId1"/></Relationships>
</file>

<file path=xl/drawings/_rels/drawing11.xml.rels><Relationships xmlns="http://schemas.openxmlformats.org/package/2006/relationships"><Relationship Type="http://schemas.openxmlformats.org/officeDocument/2006/relationships/image" Target="/xl/media/image11.png" Id="rId1"/></Relationships>
</file>

<file path=xl/drawings/_rels/drawing12.xml.rels><Relationships xmlns="http://schemas.openxmlformats.org/package/2006/relationships"><Relationship Type="http://schemas.openxmlformats.org/officeDocument/2006/relationships/image" Target="/xl/media/image12.png" Id="rId1"/></Relationships>
</file>

<file path=xl/drawings/_rels/drawing13.xml.rels><Relationships xmlns="http://schemas.openxmlformats.org/package/2006/relationships"><Relationship Type="http://schemas.openxmlformats.org/officeDocument/2006/relationships/image" Target="/xl/media/image13.png" Id="rId1"/></Relationships>
</file>

<file path=xl/drawings/_rels/drawing2.xml.rels><Relationships xmlns="http://schemas.openxmlformats.org/package/2006/relationships"><Relationship Type="http://schemas.openxmlformats.org/officeDocument/2006/relationships/image" Target="/xl/media/image2.png" Id="rId1"/></Relationships>
</file>

<file path=xl/drawings/_rels/drawing3.xml.rels><Relationships xmlns="http://schemas.openxmlformats.org/package/2006/relationships"><Relationship Type="http://schemas.openxmlformats.org/officeDocument/2006/relationships/image" Target="/xl/media/image3.png" Id="rId1"/></Relationships>
</file>

<file path=xl/drawings/_rels/drawing4.xml.rels><Relationships xmlns="http://schemas.openxmlformats.org/package/2006/relationships"><Relationship Type="http://schemas.openxmlformats.org/officeDocument/2006/relationships/image" Target="/xl/media/image4.png" Id="rId1"/></Relationships>
</file>

<file path=xl/drawings/_rels/drawing5.xml.rels><Relationships xmlns="http://schemas.openxmlformats.org/package/2006/relationships"><Relationship Type="http://schemas.openxmlformats.org/officeDocument/2006/relationships/image" Target="/xl/media/image5.png" Id="rId1"/></Relationships>
</file>

<file path=xl/drawings/_rels/drawing6.xml.rels><Relationships xmlns="http://schemas.openxmlformats.org/package/2006/relationships"><Relationship Type="http://schemas.openxmlformats.org/officeDocument/2006/relationships/image" Target="/xl/media/image6.png" Id="rId1"/></Relationships>
</file>

<file path=xl/drawings/_rels/drawing7.xml.rels><Relationships xmlns="http://schemas.openxmlformats.org/package/2006/relationships"><Relationship Type="http://schemas.openxmlformats.org/officeDocument/2006/relationships/image" Target="/xl/media/image7.png" Id="rId1"/></Relationships>
</file>

<file path=xl/drawings/_rels/drawing8.xml.rels><Relationships xmlns="http://schemas.openxmlformats.org/package/2006/relationships"><Relationship Type="http://schemas.openxmlformats.org/officeDocument/2006/relationships/image" Target="/xl/media/image8.png" Id="rId1"/></Relationships>
</file>

<file path=xl/drawings/_rels/drawing9.xml.rels><Relationships xmlns="http://schemas.openxmlformats.org/package/2006/relationships"><Relationship Type="http://schemas.openxmlformats.org/officeDocument/2006/relationships/image" Target="/xl/media/image9.png" Id="rId1"/></Relationships>
</file>

<file path=xl/drawings/drawing1.xml><?xml version="1.0" encoding="utf-8"?>
<wsDr xmlns="http://schemas.openxmlformats.org/drawingml/2006/spreadsheetDrawing">
  <twoCellAnchor editAs="oneCell">
    <from>
      <col>4</col>
      <colOff>0</colOff>
      <row>0</row>
      <rowOff>0</rowOff>
    </from>
    <to>
      <col>4</col>
      <colOff>377640</colOff>
      <row>1</row>
      <rowOff>101520</rowOff>
    </to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8669520" y="0"/>
          <a:ext cx="377640" cy="377640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 w="0">
          <a:noFill/>
          <a:prstDash val="solid"/>
        </a:ln>
      </spPr>
    </pic>
    <clientData/>
  </twoCellAnchor>
</wsDr>
</file>

<file path=xl/drawings/drawing10.xml><?xml version="1.0" encoding="utf-8"?>
<wsDr xmlns="http://schemas.openxmlformats.org/drawingml/2006/spreadsheetDrawing">
  <twoCellAnchor editAs="oneCell">
    <from>
      <col>6</col>
      <colOff>0</colOff>
      <row>0</row>
      <rowOff>0</rowOff>
    </from>
    <to>
      <col>6</col>
      <colOff>377640</colOff>
      <row>1</row>
      <rowOff>101520</rowOff>
    </to>
    <pic>
      <nvPicPr>
        <cNvPr id="10" name="Image 1" descr="Picture"/>
        <cNvPicPr/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8317080" y="0"/>
          <a:ext cx="377640" cy="377640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 w="0">
          <a:noFill/>
          <a:prstDash val="solid"/>
        </a:ln>
      </spPr>
    </pic>
    <clientData/>
  </twoCellAnchor>
</wsDr>
</file>

<file path=xl/drawings/drawing11.xml><?xml version="1.0" encoding="utf-8"?>
<wsDr xmlns="http://schemas.openxmlformats.org/drawingml/2006/spreadsheetDrawing">
  <twoCellAnchor editAs="oneCell">
    <from>
      <col>4</col>
      <colOff>0</colOff>
      <row>0</row>
      <rowOff>0</rowOff>
    </from>
    <to>
      <col>4</col>
      <colOff>377640</colOff>
      <row>1</row>
      <rowOff>101520</rowOff>
    </to>
    <pic>
      <nvPicPr>
        <cNvPr id="11" name="Image 1" descr="Picture"/>
        <cNvPicPr/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7330320" y="0"/>
          <a:ext cx="377640" cy="377640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 w="0">
          <a:noFill/>
          <a:prstDash val="solid"/>
        </a:ln>
      </spPr>
    </pic>
    <clientData/>
  </twoCellAnchor>
</wsDr>
</file>

<file path=xl/drawings/drawing12.xml><?xml version="1.0" encoding="utf-8"?>
<wsDr xmlns="http://schemas.openxmlformats.org/drawingml/2006/spreadsheetDrawing">
  <twoCellAnchor editAs="oneCell">
    <from>
      <col>5</col>
      <colOff>0</colOff>
      <row>0</row>
      <rowOff>0</rowOff>
    </from>
    <to>
      <col>5</col>
      <colOff>377640</colOff>
      <row>1</row>
      <rowOff>101520</rowOff>
    </to>
    <pic>
      <nvPicPr>
        <cNvPr id="12" name="Image 1" descr="Picture"/>
        <cNvPicPr/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8458200" y="0"/>
          <a:ext cx="377640" cy="377640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 w="0">
          <a:noFill/>
          <a:prstDash val="solid"/>
        </a:ln>
      </spPr>
    </pic>
    <clientData/>
  </twoCellAnchor>
</wsDr>
</file>

<file path=xl/drawings/drawing13.xml><?xml version="1.0" encoding="utf-8"?>
<wsDr xmlns="http://schemas.openxmlformats.org/drawingml/2006/spreadsheetDrawing">
  <twoCellAnchor editAs="oneCell">
    <from>
      <col>6</col>
      <colOff>0</colOff>
      <row>0</row>
      <rowOff>0</rowOff>
    </from>
    <to>
      <col>6</col>
      <colOff>377640</colOff>
      <row>1</row>
      <rowOff>101520</rowOff>
    </to>
    <pic>
      <nvPicPr>
        <cNvPr id="13" name="Image 1" descr="Picture"/>
        <cNvPicPr/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7753320" y="0"/>
          <a:ext cx="377640" cy="377640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 w="0">
          <a:noFill/>
          <a:prstDash val="solid"/>
        </a:ln>
      </spPr>
    </pic>
    <clientData/>
  </twoCellAnchor>
</wsDr>
</file>

<file path=xl/drawings/drawing2.xml><?xml version="1.0" encoding="utf-8"?>
<wsDr xmlns="http://schemas.openxmlformats.org/drawingml/2006/spreadsheetDrawing">
  <twoCellAnchor editAs="oneCell">
    <from>
      <col>8</col>
      <colOff>0</colOff>
      <row>0</row>
      <rowOff>0</rowOff>
    </from>
    <to>
      <col>8</col>
      <colOff>377640</colOff>
      <row>1</row>
      <rowOff>101520</rowOff>
    </to>
    <pic>
      <nvPicPr>
        <cNvPr id="2" name="Image 1" descr="Picture"/>
        <cNvPicPr/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10290960" y="0"/>
          <a:ext cx="377640" cy="377640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 w="0">
          <a:noFill/>
          <a:prstDash val="solid"/>
        </a:ln>
      </spPr>
    </pic>
    <clientData/>
  </twoCellAnchor>
</wsDr>
</file>

<file path=xl/drawings/drawing3.xml><?xml version="1.0" encoding="utf-8"?>
<wsDr xmlns="http://schemas.openxmlformats.org/drawingml/2006/spreadsheetDrawing">
  <twoCellAnchor editAs="oneCell">
    <from>
      <col>7</col>
      <colOff>0</colOff>
      <row>0</row>
      <rowOff>0</rowOff>
    </from>
    <to>
      <col>7</col>
      <colOff>377640</colOff>
      <row>1</row>
      <rowOff>101520</rowOff>
    </to>
    <pic>
      <nvPicPr>
        <cNvPr id="3" name="Image 1" descr="Picture"/>
        <cNvPicPr/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8951760" y="0"/>
          <a:ext cx="377640" cy="377640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 w="0">
          <a:noFill/>
          <a:prstDash val="solid"/>
        </a:ln>
      </spPr>
    </pic>
    <clientData/>
  </twoCellAnchor>
</wsDr>
</file>

<file path=xl/drawings/drawing4.xml><?xml version="1.0" encoding="utf-8"?>
<wsDr xmlns="http://schemas.openxmlformats.org/drawingml/2006/spreadsheetDrawing">
  <twoCellAnchor editAs="oneCell">
    <from>
      <col>5</col>
      <colOff>0</colOff>
      <row>0</row>
      <rowOff>0</rowOff>
    </from>
    <to>
      <col>5</col>
      <colOff>377640</colOff>
      <row>1</row>
      <rowOff>101520</rowOff>
    </to>
    <pic>
      <nvPicPr>
        <cNvPr id="4" name="Image 1" descr="Picture"/>
        <cNvPicPr/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7612560" y="0"/>
          <a:ext cx="377640" cy="377640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 w="0">
          <a:noFill/>
          <a:prstDash val="solid"/>
        </a:ln>
      </spPr>
    </pic>
    <clientData/>
  </twoCellAnchor>
</wsDr>
</file>

<file path=xl/drawings/drawing5.xml><?xml version="1.0" encoding="utf-8"?>
<wsDr xmlns="http://schemas.openxmlformats.org/drawingml/2006/spreadsheetDrawing">
  <twoCellAnchor editAs="oneCell">
    <from>
      <col>4</col>
      <colOff>0</colOff>
      <row>0</row>
      <rowOff>0</rowOff>
    </from>
    <to>
      <col>4</col>
      <colOff>377640</colOff>
      <row>1</row>
      <rowOff>101520</rowOff>
    </to>
    <pic>
      <nvPicPr>
        <cNvPr id="5" name="Image 1" descr="Picture"/>
        <cNvPicPr/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7330320" y="0"/>
          <a:ext cx="377640" cy="377640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 w="0">
          <a:noFill/>
          <a:prstDash val="solid"/>
        </a:ln>
      </spPr>
    </pic>
    <clientData/>
  </twoCellAnchor>
</wsDr>
</file>

<file path=xl/drawings/drawing6.xml><?xml version="1.0" encoding="utf-8"?>
<wsDr xmlns="http://schemas.openxmlformats.org/drawingml/2006/spreadsheetDrawing">
  <twoCellAnchor editAs="oneCell">
    <from>
      <col>7</col>
      <colOff>0</colOff>
      <row>0</row>
      <rowOff>0</rowOff>
    </from>
    <to>
      <col>7</col>
      <colOff>377640</colOff>
      <row>1</row>
      <rowOff>101520</rowOff>
    </to>
    <pic>
      <nvPicPr>
        <cNvPr id="6" name="Image 1" descr="Picture"/>
        <cNvPicPr/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8669520" y="0"/>
          <a:ext cx="377640" cy="377640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 w="0">
          <a:noFill/>
          <a:prstDash val="solid"/>
        </a:ln>
      </spPr>
    </pic>
    <clientData/>
  </twoCellAnchor>
</wsDr>
</file>

<file path=xl/drawings/drawing7.xml><?xml version="1.0" encoding="utf-8"?>
<wsDr xmlns="http://schemas.openxmlformats.org/drawingml/2006/spreadsheetDrawing">
  <twoCellAnchor editAs="oneCell">
    <from>
      <col>8</col>
      <colOff>0</colOff>
      <row>0</row>
      <rowOff>0</rowOff>
    </from>
    <to>
      <col>8</col>
      <colOff>377640</colOff>
      <row>1</row>
      <rowOff>101520</rowOff>
    </to>
    <pic>
      <nvPicPr>
        <cNvPr id="7" name="Image 1" descr="Picture"/>
        <cNvPicPr/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9021960" y="0"/>
          <a:ext cx="377640" cy="377640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 w="0">
          <a:noFill/>
          <a:prstDash val="solid"/>
        </a:ln>
      </spPr>
    </pic>
    <clientData/>
  </twoCellAnchor>
</wsDr>
</file>

<file path=xl/drawings/drawing8.xml><?xml version="1.0" encoding="utf-8"?>
<wsDr xmlns="http://schemas.openxmlformats.org/drawingml/2006/spreadsheetDrawing">
  <twoCellAnchor editAs="oneCell">
    <from>
      <col>8</col>
      <colOff>0</colOff>
      <row>0</row>
      <rowOff>0</rowOff>
    </from>
    <to>
      <col>8</col>
      <colOff>377640</colOff>
      <row>1</row>
      <rowOff>101520</rowOff>
    </to>
    <pic>
      <nvPicPr>
        <cNvPr id="8" name="Image 1" descr="Picture"/>
        <cNvPicPr/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9726840" y="0"/>
          <a:ext cx="377640" cy="377640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 w="0">
          <a:noFill/>
          <a:prstDash val="solid"/>
        </a:ln>
      </spPr>
    </pic>
    <clientData/>
  </twoCellAnchor>
</wsDr>
</file>

<file path=xl/drawings/drawing9.xml><?xml version="1.0" encoding="utf-8"?>
<wsDr xmlns="http://schemas.openxmlformats.org/drawingml/2006/spreadsheetDrawing">
  <twoCellAnchor editAs="oneCell">
    <from>
      <col>7</col>
      <colOff>0</colOff>
      <row>0</row>
      <rowOff>0</rowOff>
    </from>
    <to>
      <col>7</col>
      <colOff>377640</colOff>
      <row>1</row>
      <rowOff>101520</rowOff>
    </to>
    <pic>
      <nvPicPr>
        <cNvPr id="9" name="Image 1" descr="Picture"/>
        <cNvPicPr/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9021960" y="0"/>
          <a:ext cx="377640" cy="377640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 w="0">
          <a:noFill/>
          <a:prstDash val="solid"/>
        </a:ln>
      </spPr>
    </pic>
    <clientData/>
  </two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hyperlink" Target="https://baratelliinstitute.gumroad.com/l/isetaw" TargetMode="External" Id="rId1"/><Relationship Type="http://schemas.openxmlformats.org/officeDocument/2006/relationships/hyperlink" Target="https://baratelliinstitute.com" TargetMode="External" Id="rId2"/></Relationships>
</file>

<file path=xl/worksheets/_rels/sheet10.xml.rels><Relationships xmlns="http://schemas.openxmlformats.org/package/2006/relationships"><Relationship Type="http://schemas.openxmlformats.org/officeDocument/2006/relationships/hyperlink" Target="Baratelli_Danaher_Model.xlsx" TargetMode="External" Id="rId1"/><Relationship Type="http://schemas.openxmlformats.org/officeDocument/2006/relationships/drawing" Target="/xl/drawings/drawing7.xml" Id="rId2"/></Relationships>
</file>

<file path=xl/worksheets/_rels/sheet11.xml.rels><Relationships xmlns="http://schemas.openxmlformats.org/package/2006/relationships"><Relationship Type="http://schemas.openxmlformats.org/officeDocument/2006/relationships/hyperlink" Target="Baratelli_Danaher_Model.xlsx" TargetMode="External" Id="rId1"/><Relationship Type="http://schemas.openxmlformats.org/officeDocument/2006/relationships/drawing" Target="/xl/drawings/drawing8.xml" Id="rId2"/></Relationships>
</file>

<file path=xl/worksheets/_rels/sheet12.xml.rels><Relationships xmlns="http://schemas.openxmlformats.org/package/2006/relationships"><Relationship Type="http://schemas.openxmlformats.org/officeDocument/2006/relationships/hyperlink" Target="Baratelli_Danaher_Model.xlsx" TargetMode="External" Id="rId1"/><Relationship Type="http://schemas.openxmlformats.org/officeDocument/2006/relationships/drawing" Target="/xl/drawings/drawing9.xml" Id="rId2"/></Relationships>
</file>

<file path=xl/worksheets/_rels/sheet13.xml.rels><Relationships xmlns="http://schemas.openxmlformats.org/package/2006/relationships"><Relationship Type="http://schemas.openxmlformats.org/officeDocument/2006/relationships/hyperlink" Target="Baratelli_Danaher_Model.xlsx" TargetMode="External" Id="rId1"/><Relationship Type="http://schemas.openxmlformats.org/officeDocument/2006/relationships/drawing" Target="/xl/drawings/drawing10.xml" Id="rId2"/></Relationships>
</file>

<file path=xl/worksheets/_rels/sheet14.xml.rels><Relationships xmlns="http://schemas.openxmlformats.org/package/2006/relationships"><Relationship Type="http://schemas.openxmlformats.org/officeDocument/2006/relationships/hyperlink" Target="Baratelli_Danaher_Model.xlsx" TargetMode="External" Id="rId1"/><Relationship Type="http://schemas.openxmlformats.org/officeDocument/2006/relationships/drawing" Target="/xl/drawings/drawing11.xml" Id="rId2"/></Relationships>
</file>

<file path=xl/worksheets/_rels/sheet15.xml.rels><Relationships xmlns="http://schemas.openxmlformats.org/package/2006/relationships"><Relationship Type="http://schemas.openxmlformats.org/officeDocument/2006/relationships/hyperlink" Target="Baratelli_Danaher_Model.xlsx" TargetMode="External" Id="rId1"/><Relationship Type="http://schemas.openxmlformats.org/officeDocument/2006/relationships/drawing" Target="/xl/drawings/drawing12.xml" Id="rId2"/></Relationships>
</file>

<file path=xl/worksheets/_rels/sheet16.xml.rels><Relationships xmlns="http://schemas.openxmlformats.org/package/2006/relationships"><Relationship Type="http://schemas.openxmlformats.org/officeDocument/2006/relationships/hyperlink" Target="Baratelli_Danaher_Model.xlsx" TargetMode="External" Id="rId1"/><Relationship Type="http://schemas.openxmlformats.org/officeDocument/2006/relationships/drawing" Target="/xl/drawings/drawing13.xml" Id="rId2"/></Relationships>
</file>

<file path=xl/worksheets/_rels/sheet3.xml.rels><Relationships xmlns="http://schemas.openxmlformats.org/package/2006/relationships"><Relationship Type="http://schemas.openxmlformats.org/officeDocument/2006/relationships/hyperlink" Target="Baratelli_Danaher_Model.xlsx" TargetMode="External" Id="rId1"/><Relationship Type="http://schemas.openxmlformats.org/officeDocument/2006/relationships/hyperlink" Target="Baratelli_Danaher_Model.xlsx" TargetMode="External" Id="rId2"/><Relationship Type="http://schemas.openxmlformats.org/officeDocument/2006/relationships/hyperlink" Target="Baratelli_Danaher_Model.xlsx" TargetMode="External" Id="rId3"/><Relationship Type="http://schemas.openxmlformats.org/officeDocument/2006/relationships/hyperlink" Target="Baratelli_Danaher_Model.xlsx" TargetMode="External" Id="rId4"/><Relationship Type="http://schemas.openxmlformats.org/officeDocument/2006/relationships/hyperlink" Target="Baratelli_Danaher_Model.xlsx" TargetMode="External" Id="rId5"/><Relationship Type="http://schemas.openxmlformats.org/officeDocument/2006/relationships/hyperlink" Target="Baratelli_Danaher_Model.xlsx" TargetMode="External" Id="rId6"/><Relationship Type="http://schemas.openxmlformats.org/officeDocument/2006/relationships/hyperlink" Target="Baratelli_Danaher_Model.xlsx" TargetMode="External" Id="rId7"/><Relationship Type="http://schemas.openxmlformats.org/officeDocument/2006/relationships/hyperlink" Target="Baratelli_Danaher_Model.xlsx" TargetMode="External" Id="rId8"/><Relationship Type="http://schemas.openxmlformats.org/officeDocument/2006/relationships/hyperlink" Target="Baratelli_Danaher_Model.xlsx" TargetMode="External" Id="rId9"/><Relationship Type="http://schemas.openxmlformats.org/officeDocument/2006/relationships/hyperlink" Target="Baratelli_Danaher_Model.xlsx" TargetMode="External" Id="rId10"/><Relationship Type="http://schemas.openxmlformats.org/officeDocument/2006/relationships/hyperlink" Target="Baratelli_Danaher_Model.xlsx" TargetMode="External" Id="rId11"/><Relationship Type="http://schemas.openxmlformats.org/officeDocument/2006/relationships/hyperlink" Target="Baratelli_Danaher_Model.xlsx" TargetMode="External" Id="rId12"/><Relationship Type="http://schemas.openxmlformats.org/officeDocument/2006/relationships/hyperlink" Target="Baratelli_Danaher_Model.xlsx" TargetMode="External" Id="rId13"/></Relationships>
</file>

<file path=xl/worksheets/_rels/sheet4.xml.rels><Relationships xmlns="http://schemas.openxmlformats.org/package/2006/relationships"><Relationship Type="http://schemas.openxmlformats.org/officeDocument/2006/relationships/hyperlink" Target="Baratelli_Danaher_Model.xlsx" TargetMode="External" Id="rId1"/><Relationship Type="http://schemas.openxmlformats.org/officeDocument/2006/relationships/drawing" Target="/xl/drawings/drawing1.xml" Id="rId2"/></Relationships>
</file>

<file path=xl/worksheets/_rels/sheet5.xml.rels><Relationships xmlns="http://schemas.openxmlformats.org/package/2006/relationships"><Relationship Type="http://schemas.openxmlformats.org/officeDocument/2006/relationships/hyperlink" Target="Baratelli_Danaher_Model.xlsx" TargetMode="External" Id="rId1"/><Relationship Type="http://schemas.openxmlformats.org/officeDocument/2006/relationships/drawing" Target="/xl/drawings/drawing2.xml" Id="rId2"/></Relationships>
</file>

<file path=xl/worksheets/_rels/sheet6.xml.rels><Relationships xmlns="http://schemas.openxmlformats.org/package/2006/relationships"><Relationship Type="http://schemas.openxmlformats.org/officeDocument/2006/relationships/hyperlink" Target="Baratelli_Danaher_Model.xlsx" TargetMode="External" Id="rId1"/><Relationship Type="http://schemas.openxmlformats.org/officeDocument/2006/relationships/drawing" Target="/xl/drawings/drawing3.xml" Id="rId2"/></Relationships>
</file>

<file path=xl/worksheets/_rels/sheet7.xml.rels><Relationships xmlns="http://schemas.openxmlformats.org/package/2006/relationships"><Relationship Type="http://schemas.openxmlformats.org/officeDocument/2006/relationships/hyperlink" Target="Baratelli_Danaher_Model.xlsx" TargetMode="External" Id="rId1"/><Relationship Type="http://schemas.openxmlformats.org/officeDocument/2006/relationships/drawing" Target="/xl/drawings/drawing4.xml" Id="rId2"/></Relationships>
</file>

<file path=xl/worksheets/_rels/sheet8.xml.rels><Relationships xmlns="http://schemas.openxmlformats.org/package/2006/relationships"><Relationship Type="http://schemas.openxmlformats.org/officeDocument/2006/relationships/hyperlink" Target="Baratelli_Danaher_Model.xlsx" TargetMode="External" Id="rId1"/><Relationship Type="http://schemas.openxmlformats.org/officeDocument/2006/relationships/drawing" Target="/xl/drawings/drawing5.xml" Id="rId2"/></Relationships>
</file>

<file path=xl/worksheets/_rels/sheet9.xml.rels><Relationships xmlns="http://schemas.openxmlformats.org/package/2006/relationships"><Relationship Type="http://schemas.openxmlformats.org/officeDocument/2006/relationships/hyperlink" Target="Baratelli_Danaher_Model.xlsx" TargetMode="External" Id="rId1"/><Relationship Type="http://schemas.openxmlformats.org/officeDocument/2006/relationships/drawing" Target="/xl/drawings/drawing6.xm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7"/>
  <sheetViews>
    <sheetView showGridLines="0" tabSelected="0" workbookViewId="0">
      <selection activeCell="A1" sqref="A1"/>
    </sheetView>
  </sheetViews>
  <sheetFormatPr baseColWidth="8" defaultRowHeight="15"/>
  <cols>
    <col width="14" customWidth="1" style="5" min="1" max="1"/>
    <col width="14" customWidth="1" style="5" min="2" max="2"/>
    <col width="14" customWidth="1" style="5" min="3" max="3"/>
    <col width="14" customWidth="1" style="5" min="4" max="4"/>
    <col width="14" customWidth="1" style="5" min="5" max="5"/>
    <col width="14" customWidth="1" style="5" min="6" max="6"/>
  </cols>
  <sheetData>
    <row r="1" ht="32" customHeight="1" s="5">
      <c r="A1" s="20" t="inlineStr">
        <is>
          <t>THE BARATELLI FINANCIAL MODELING TOOLKIT</t>
        </is>
      </c>
    </row>
    <row r="2" ht="22" customHeight="1" s="5">
      <c r="A2" s="21" t="inlineStr">
        <is>
          <t>Production templates for M&amp;A, valuation, PE, and 3-statement modeling</t>
        </is>
      </c>
    </row>
    <row r="3" ht="12" customHeight="1" s="5"/>
    <row r="4" ht="34" customHeight="1" s="5">
      <c r="A4" s="22" t="inlineStr">
        <is>
          <t>You are looking at one case study Excel model. The full Toolkit gives you the production templates blank-and-ready for YOUR own deals.</t>
        </is>
      </c>
    </row>
    <row r="5" ht="10" customHeight="1" s="5"/>
    <row r="6" ht="22" customHeight="1" s="5">
      <c r="A6" s="23" t="inlineStr">
        <is>
          <t>26 Excel templates + 50+ page methodology PDF</t>
        </is>
      </c>
    </row>
    <row r="7" ht="10" customHeight="1" s="5"/>
    <row r="8" ht="20" customHeight="1" s="5">
      <c r="A8" s="24" t="inlineStr">
        <is>
          <t>Built by CPAs, MBAs, and career practitioners</t>
        </is>
      </c>
    </row>
    <row r="9" ht="12" customHeight="1" s="5"/>
    <row r="10" ht="40" customHeight="1" s="5">
      <c r="A10" s="25" t="inlineStr">
        <is>
          <t>$99 USD</t>
        </is>
      </c>
    </row>
    <row r="11" ht="22" customHeight="1" s="5">
      <c r="A11" s="26" t="inlineStr">
        <is>
          <t>at gumroad.com/l/isetaw</t>
        </is>
      </c>
    </row>
    <row r="12" ht="10" customHeight="1" s="5"/>
    <row r="13" ht="18" customHeight="1" s="5">
      <c r="A13" s="27" t="inlineStr">
        <is>
          <t>Also available: £79 GBP · €89 EUR</t>
        </is>
      </c>
    </row>
    <row r="14" ht="10" customHeight="1" s="5"/>
    <row r="15" ht="20" customHeight="1" s="5">
      <c r="A15" s="27" t="inlineStr">
        <is>
          <t>Enterprise licensing available for firms. Contact enterprise@baratelliinstitute.com</t>
        </is>
      </c>
    </row>
    <row r="16" ht="10" customHeight="1" s="5"/>
    <row r="17" ht="20" customHeight="1" s="5">
      <c r="A17" s="28" t="inlineStr">
        <is>
          <t>baratelliinstitute.com</t>
        </is>
      </c>
    </row>
  </sheetData>
  <mergeCells count="10">
    <mergeCell ref="A2:F2"/>
    <mergeCell ref="A11:F11"/>
    <mergeCell ref="A10:F10"/>
    <mergeCell ref="A13:F13"/>
    <mergeCell ref="A1:F1"/>
    <mergeCell ref="A8:F8"/>
    <mergeCell ref="A6:F6"/>
    <mergeCell ref="A17:F17"/>
    <mergeCell ref="A4:F4"/>
    <mergeCell ref="A15:F15"/>
  </mergeCells>
  <hyperlinks>
    <hyperlink xmlns:r="http://schemas.openxmlformats.org/officeDocument/2006/relationships" ref="A11" r:id="rId1"/>
    <hyperlink xmlns:r="http://schemas.openxmlformats.org/officeDocument/2006/relationships" ref="A17" r:id="rId2"/>
  </hyperlinks>
  <pageMargins left="0.75" right="0.75" top="1" bottom="1" header="0.5" footer="0.5"/>
</worksheet>
</file>

<file path=xl/worksheets/sheet10.xml><?xml version="1.0" encoding="utf-8"?>
<worksheet xmlns="http://schemas.openxmlformats.org/spreadsheetml/2006/main">
  <sheetPr filterMode="0">
    <tabColor rgb="FFC89000"/>
    <outlinePr summaryBelow="1" summaryRight="1"/>
    <pageSetUpPr fitToPage="1"/>
  </sheetPr>
  <dimension ref="A1:I19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A1" activeCellId="0" sqref="A1"/>
    </sheetView>
  </sheetViews>
  <sheetFormatPr baseColWidth="8" defaultColWidth="8.6796875" defaultRowHeight="15" customHeight="0" zeroHeight="0" outlineLevelRow="0"/>
  <cols>
    <col width="34" customWidth="1" style="4" min="1" max="1"/>
    <col width="16" customWidth="1" style="4" min="2" max="2"/>
    <col width="13" customWidth="1" style="4" min="3" max="8"/>
    <col width="20" customWidth="1" style="4" min="9" max="9"/>
  </cols>
  <sheetData>
    <row r="1" ht="21.75" customFormat="1" customHeight="1" s="4">
      <c r="A1" s="4" t="inlineStr">
        <is>
          <t>BARATELLI INSTITUTE  ·  MENTORING AT SCALE  ·  DANAHER COMPOUNDER CASE MODEL  ·  JULY 6, 2026</t>
        </is>
      </c>
    </row>
    <row r="2" ht="13.5" customFormat="1" customHeight="1" s="4">
      <c r="A2" s="6" t="inlineStr">
        <is>
          <t>TOP OF WORKBOOK  ·  BACK TO INDEX</t>
        </is>
      </c>
    </row>
    <row r="3" ht="21.75" customFormat="1" customHeight="1" s="4">
      <c r="A3" s="4" t="inlineStr">
        <is>
          <t>FOUR-ENTITY SUM-OF-THE-PARTS — DHR + FTV + NVST + VLTO</t>
        </is>
      </c>
    </row>
    <row r="4" ht="25.5" customFormat="1" customHeight="1" s="4">
      <c r="A4" s="4" t="inlineStr">
        <is>
          <t>Table 9a — the DBS-lineage aggregate market cap, enterprise value, revenue, EBITDA.</t>
        </is>
      </c>
    </row>
    <row r="5" ht="15.75" customFormat="1" customHeight="1" s="4">
      <c r="B5" s="4" t="inlineStr">
        <is>
          <t>TABLE 9a — FOUR-ENTITY SOTP (JULY 2026)</t>
        </is>
      </c>
    </row>
    <row r="6" ht="21.75" customFormat="1" customHeight="1" s="4">
      <c r="B6" s="4" t="inlineStr">
        <is>
          <t>Entity</t>
        </is>
      </c>
      <c r="C6" s="4" t="inlineStr">
        <is>
          <t>Mkt cap ($B)</t>
        </is>
      </c>
      <c r="D6" s="4" t="inlineStr">
        <is>
          <t>Net debt ($B)</t>
        </is>
      </c>
      <c r="E6" s="4" t="inlineStr">
        <is>
          <t>EV ($B)</t>
        </is>
      </c>
      <c r="F6" s="4" t="inlineStr">
        <is>
          <t>FY25 rev ($B)</t>
        </is>
      </c>
      <c r="G6" s="4" t="inlineStr">
        <is>
          <t>FY25 EBITDA ($B)</t>
        </is>
      </c>
      <c r="H6" s="4" t="inlineStr">
        <is>
          <t>EV/EBITDA</t>
        </is>
      </c>
      <c r="I6" s="4" t="inlineStr">
        <is>
          <t>Note</t>
        </is>
      </c>
    </row>
    <row r="7" ht="15" customFormat="1" customHeight="1" s="4">
      <c r="B7" s="4" t="inlineStr">
        <is>
          <t>Danaher (DHR)</t>
        </is>
      </c>
      <c r="C7" s="7" t="n">
        <v>180</v>
      </c>
      <c r="D7" s="7" t="n">
        <v>13.7</v>
      </c>
      <c r="E7" s="7" t="n">
        <v>193.7</v>
      </c>
      <c r="F7" s="7" t="n">
        <v>24</v>
      </c>
      <c r="G7" s="7" t="n">
        <v>7.1</v>
      </c>
      <c r="H7" s="7" t="n">
        <v>27.3</v>
      </c>
      <c r="I7" s="4" t="inlineStr">
        <is>
          <t>Reference multiple.</t>
        </is>
      </c>
    </row>
    <row r="8" ht="15" customFormat="1" customHeight="1" s="4">
      <c r="B8" s="4" t="inlineStr">
        <is>
          <t>Fortive (FTV)</t>
        </is>
      </c>
      <c r="C8" s="7" t="n">
        <v>30</v>
      </c>
      <c r="D8" s="7" t="n">
        <v>2.5</v>
      </c>
      <c r="E8" s="7" t="n">
        <v>32.5</v>
      </c>
      <c r="F8" s="7" t="n">
        <v>6.3</v>
      </c>
      <c r="G8" s="7" t="n">
        <v>1.7</v>
      </c>
      <c r="H8" s="7" t="n">
        <v>19.1</v>
      </c>
      <c r="I8" s="4" t="inlineStr">
        <is>
          <t>FBS-earned premium.</t>
        </is>
      </c>
    </row>
    <row r="9" ht="15" customFormat="1" customHeight="1" s="4">
      <c r="B9" s="4" t="inlineStr">
        <is>
          <t>Envista (NVST)</t>
        </is>
      </c>
      <c r="C9" s="7" t="n">
        <v>4</v>
      </c>
      <c r="D9" s="7" t="n">
        <v>1</v>
      </c>
      <c r="E9" s="7" t="n">
        <v>5</v>
      </c>
      <c r="F9" s="7" t="n">
        <v>2.5</v>
      </c>
      <c r="G9" s="7" t="n">
        <v>0.5</v>
      </c>
      <c r="H9" s="7" t="n">
        <v>10</v>
      </c>
      <c r="I9" s="4" t="inlineStr">
        <is>
          <t>Cycle-depressed.</t>
        </is>
      </c>
    </row>
    <row r="10" ht="15" customFormat="1" customHeight="1" s="4">
      <c r="B10" s="4" t="inlineStr">
        <is>
          <t>Veralto (VLTO)</t>
        </is>
      </c>
      <c r="C10" s="7" t="n">
        <v>22</v>
      </c>
      <c r="D10" s="7" t="n">
        <v>2.4</v>
      </c>
      <c r="E10" s="7" t="n">
        <v>24.4</v>
      </c>
      <c r="F10" s="7" t="n">
        <v>5.2</v>
      </c>
      <c r="G10" s="7" t="n">
        <v>1.35</v>
      </c>
      <c r="H10" s="7" t="n">
        <v>18.1</v>
      </c>
      <c r="I10" s="4" t="inlineStr">
        <is>
          <t>Water-quality tailwind.</t>
        </is>
      </c>
    </row>
    <row r="11" ht="15" customFormat="1" customHeight="1" s="4">
      <c r="B11" s="4" t="inlineStr">
        <is>
          <t>AGGREGATE</t>
        </is>
      </c>
      <c r="C11" s="7" t="n">
        <v>236</v>
      </c>
      <c r="D11" s="7" t="n">
        <v>19.6</v>
      </c>
      <c r="E11" s="7" t="n">
        <v>255.6</v>
      </c>
      <c r="F11" s="7" t="n">
        <v>38</v>
      </c>
      <c r="G11" s="7" t="n">
        <v>10.65</v>
      </c>
      <c r="H11" s="7" t="n">
        <v>24</v>
      </c>
      <c r="I11" s="4" t="inlineStr">
        <is>
          <t>DBS-lineage total.</t>
        </is>
      </c>
    </row>
    <row r="12" ht="15" customFormat="1" customHeight="1" s="4"/>
    <row r="13" ht="15.75" customFormat="1" customHeight="1" s="4">
      <c r="B13" s="4" t="inlineStr">
        <is>
          <t>1984-2026 COMPOUNDING TEST</t>
        </is>
      </c>
    </row>
    <row r="14" ht="21.75" customFormat="1" customHeight="1" s="4">
      <c r="B14" s="4" t="inlineStr">
        <is>
          <t>Metric</t>
        </is>
      </c>
      <c r="C14" s="4" t="inlineStr">
        <is>
          <t>Value</t>
        </is>
      </c>
      <c r="I14" s="4" t="inlineStr">
        <is>
          <t>Basis</t>
        </is>
      </c>
    </row>
    <row r="15" ht="15" customFormat="1" customHeight="1" s="4">
      <c r="B15" s="4" t="inlineStr">
        <is>
          <t>1984 DMG acquisition price ($M)</t>
        </is>
      </c>
      <c r="C15" s="7" t="n">
        <v>22</v>
      </c>
      <c r="I15" s="4" t="inlineStr">
        <is>
          <t>Rales brothers original transaction</t>
        </is>
      </c>
    </row>
    <row r="16" ht="15" customFormat="1" customHeight="1" s="4">
      <c r="B16" s="4" t="inlineStr">
        <is>
          <t>2026 aggregate market cap ($B)</t>
        </is>
      </c>
      <c r="C16" s="7" t="n">
        <v>236</v>
      </c>
      <c r="I16" s="4" t="inlineStr">
        <is>
          <t>Four-entity sum</t>
        </is>
      </c>
    </row>
    <row r="17" ht="15" customFormat="1" customHeight="1" s="4">
      <c r="B17" s="4" t="inlineStr">
        <is>
          <t>Cumulative compound return (approx)</t>
        </is>
      </c>
      <c r="C17" s="4" t="inlineStr">
        <is>
          <t>~10,000x</t>
        </is>
      </c>
      <c r="I17" s="4" t="inlineStr">
        <is>
          <t xml:space="preserve"> =$236b / $22m</t>
        </is>
      </c>
    </row>
    <row r="18" ht="15" customFormat="1" customHeight="1" s="4">
      <c r="B18" s="4" t="inlineStr">
        <is>
          <t>Berkshire cumulative return since 1965</t>
        </is>
      </c>
      <c r="C18" s="4" t="inlineStr">
        <is>
          <t>~30,000x</t>
        </is>
      </c>
      <c r="I18" s="4" t="inlineStr">
        <is>
          <t>For reference</t>
        </is>
      </c>
    </row>
    <row r="19" ht="15" customFormat="1" customHeight="1" s="4">
      <c r="B19" s="4" t="inlineStr">
        <is>
          <t>LVMH cumulative return since ~1984</t>
        </is>
      </c>
      <c r="C19" s="4" t="inlineStr">
        <is>
          <t>~10,000x</t>
        </is>
      </c>
      <c r="I19" s="4" t="inlineStr">
        <is>
          <t>Comparable window</t>
        </is>
      </c>
    </row>
  </sheetData>
  <mergeCells count="5">
    <mergeCell ref="B13:I13"/>
    <mergeCell ref="A1:I1"/>
    <mergeCell ref="B5:I5"/>
    <mergeCell ref="A3:I3"/>
    <mergeCell ref="A4:I4"/>
  </mergeCells>
  <hyperlinks>
    <hyperlink xmlns:r="http://schemas.openxmlformats.org/officeDocument/2006/relationships" ref="A2" location="INDEX!A1" display="TOP OF WORKBOOK  ·  BACK TO INDEX" r:id="rId1"/>
  </hyperlinks>
  <printOptions horizontalCentered="1" verticalCentered="0" headings="0" gridLines="0" gridLinesSet="1"/>
  <pageMargins left="0.5" right="0.5" top="0.5" bottom="0.5" header="0.3" footer="0.3"/>
  <pageSetup orientation="landscape" paperSize="1" scale="100" fitToHeight="0" fitToWidth="1" pageOrder="downThenOver" blackAndWhite="0" draft="0" horizontalDpi="300" verticalDpi="300" copies="1"/>
  <headerFooter differentOddEven="0" differentFirst="0">
    <oddHeader>&amp;L&amp;8 &amp;K3C3F45SOTP_4WAY&amp;C&amp;9 &amp;K0d2747SOTP_4WAY&amp;R&amp;8 &amp;KC89000BARATELLI INSTITUTE  *  MENTORING AT SCALE</oddHeader>
    <oddFooter>&amp;L&amp;8 &amp;K3C3F45baratelliinstitute.com&amp;C&amp;8 &amp;K3C3F45Page &amp;P of &amp;N&amp;R&amp;8 &amp;K3C3F45Danaher Compounder 2026</oddFooter>
    <evenHeader/>
    <evenFooter/>
    <firstHeader/>
    <firstFooter/>
  </headerFooter>
  <drawing xmlns:r="http://schemas.openxmlformats.org/officeDocument/2006/relationships" r:id="rId2"/>
</worksheet>
</file>

<file path=xl/worksheets/sheet11.xml><?xml version="1.0" encoding="utf-8"?>
<worksheet xmlns="http://schemas.openxmlformats.org/spreadsheetml/2006/main">
  <sheetPr filterMode="0">
    <tabColor rgb="FFC89000"/>
    <outlinePr summaryBelow="1" summaryRight="1"/>
    <pageSetUpPr fitToPage="1"/>
  </sheetPr>
  <dimension ref="A1:J17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A1" activeCellId="0" sqref="A1"/>
    </sheetView>
  </sheetViews>
  <sheetFormatPr baseColWidth="8" defaultColWidth="8.6796875" defaultRowHeight="15" customHeight="0" zeroHeight="0" outlineLevelRow="0"/>
  <cols>
    <col width="34" customWidth="1" style="4" min="1" max="1"/>
    <col width="22" customWidth="1" style="4" min="2" max="2"/>
    <col width="13" customWidth="1" style="4" min="3" max="5"/>
    <col width="14" customWidth="1" style="4" min="6" max="6"/>
    <col width="13" customWidth="1" style="4" min="7" max="7"/>
    <col width="16" customWidth="1" style="4" min="8" max="8"/>
    <col width="13" customWidth="1" style="4" min="9" max="9"/>
    <col width="36" customWidth="1" style="4" min="10" max="10"/>
  </cols>
  <sheetData>
    <row r="1" ht="21.75" customFormat="1" customHeight="1" s="4">
      <c r="A1" s="4" t="inlineStr">
        <is>
          <t>BARATELLI INSTITUTE  ·  MENTORING AT SCALE  ·  DANAHER COMPOUNDER CASE MODEL  ·  JULY 6, 2026</t>
        </is>
      </c>
    </row>
    <row r="2" ht="13.5" customFormat="1" customHeight="1" s="4">
      <c r="A2" s="6" t="inlineStr">
        <is>
          <t>TOP OF WORKBOOK  ·  BACK TO INDEX</t>
        </is>
      </c>
    </row>
    <row r="3" ht="21.75" customFormat="1" customHeight="1" s="4">
      <c r="A3" s="4" t="inlineStr">
        <is>
          <t>PEER COMPARABLES  —  LIFE SCIENCES / DIAGNOSTICS TOOLS PEER SET  (with underlying arithmetic)</t>
        </is>
      </c>
    </row>
    <row r="4" ht="25.5" customFormat="1" customHeight="1" s="4">
      <c r="A4" s="4" t="inlineStr">
        <is>
          <t>Table 8b — FY2025 approximate figures. Multiples derive from real dollar arithmetic. EV = Market Cap + Net Debt. EV/EBITDA = EV / EBITDA.</t>
        </is>
      </c>
    </row>
    <row r="5" ht="21.75" customFormat="1" customHeight="1" s="4">
      <c r="B5" s="4" t="inlineStr">
        <is>
          <t>Peer</t>
        </is>
      </c>
      <c r="C5" s="4" t="inlineStr">
        <is>
          <t>Ticker</t>
        </is>
      </c>
      <c r="D5" s="4" t="inlineStr">
        <is>
          <t>Revenue ($B)</t>
        </is>
      </c>
      <c r="E5" s="4" t="inlineStr">
        <is>
          <t>EBITDA ($B)</t>
        </is>
      </c>
      <c r="F5" s="4" t="inlineStr">
        <is>
          <t>Market Cap ($B)</t>
        </is>
      </c>
      <c r="G5" s="4" t="inlineStr">
        <is>
          <t>Net Debt ($B)</t>
        </is>
      </c>
      <c r="H5" s="4" t="inlineStr">
        <is>
          <t>Enterprise Value ($B)</t>
        </is>
      </c>
      <c r="I5" s="4" t="inlineStr">
        <is>
          <t>EV/EBITDA</t>
        </is>
      </c>
      <c r="J5" s="4" t="inlineStr">
        <is>
          <t>Character</t>
        </is>
      </c>
    </row>
    <row r="6" ht="15" customFormat="1" customHeight="1" s="4">
      <c r="B6" s="4" t="inlineStr">
        <is>
          <t>Danaher</t>
        </is>
      </c>
      <c r="C6" s="4" t="inlineStr">
        <is>
          <t>DHR</t>
        </is>
      </c>
      <c r="D6" s="7" t="n">
        <v>27</v>
      </c>
      <c r="E6" s="7" t="n">
        <v>8.5</v>
      </c>
      <c r="F6" s="7" t="n">
        <v>180</v>
      </c>
      <c r="G6" s="7" t="n">
        <v>14</v>
      </c>
      <c r="H6" s="7" t="n">
        <v>194</v>
      </c>
      <c r="I6" s="7" t="n">
        <v>23</v>
      </c>
      <c r="J6" s="4" t="inlineStr">
        <is>
          <t>Reference case.</t>
        </is>
      </c>
    </row>
    <row r="7" ht="15" customFormat="1" customHeight="1" s="4">
      <c r="B7" s="4" t="inlineStr">
        <is>
          <t>Thermo Fisher</t>
        </is>
      </c>
      <c r="C7" s="4" t="inlineStr">
        <is>
          <t>TMO</t>
        </is>
      </c>
      <c r="D7" s="7" t="n">
        <v>45</v>
      </c>
      <c r="E7" s="7" t="n">
        <v>10</v>
      </c>
      <c r="F7" s="7" t="n">
        <v>220</v>
      </c>
      <c r="G7" s="7" t="n">
        <v>25</v>
      </c>
      <c r="H7" s="7" t="n">
        <v>245</v>
      </c>
      <c r="I7" s="7" t="n">
        <v>24.5</v>
      </c>
      <c r="J7" s="4" t="inlineStr">
        <is>
          <t>Largest peer by revenue.</t>
        </is>
      </c>
    </row>
    <row r="8" ht="15" customFormat="1" customHeight="1" s="4">
      <c r="B8" s="4" t="inlineStr">
        <is>
          <t>Agilent</t>
        </is>
      </c>
      <c r="C8" s="4" t="inlineStr">
        <is>
          <t>A</t>
        </is>
      </c>
      <c r="D8" s="7" t="n">
        <v>7</v>
      </c>
      <c r="E8" s="7" t="n">
        <v>2</v>
      </c>
      <c r="F8" s="7" t="n">
        <v>41</v>
      </c>
      <c r="G8" s="7" t="n">
        <v>1.5</v>
      </c>
      <c r="H8" s="7" t="n">
        <v>42</v>
      </c>
      <c r="I8" s="7" t="n">
        <v>21</v>
      </c>
      <c r="J8" s="4" t="inlineStr">
        <is>
          <t>Analytical + Dx + genomics.</t>
        </is>
      </c>
    </row>
    <row r="9" ht="15" customFormat="1" customHeight="1" s="4">
      <c r="B9" s="4" t="inlineStr">
        <is>
          <t>Waters</t>
        </is>
      </c>
      <c r="C9" s="4" t="inlineStr">
        <is>
          <t>WAT</t>
        </is>
      </c>
      <c r="D9" s="7" t="n">
        <v>3</v>
      </c>
      <c r="E9" s="7" t="n">
        <v>1.1</v>
      </c>
      <c r="F9" s="7" t="n">
        <v>22</v>
      </c>
      <c r="G9" s="7" t="n">
        <v>1.7</v>
      </c>
      <c r="H9" s="7" t="n">
        <v>24</v>
      </c>
      <c r="I9" s="7" t="n">
        <v>22</v>
      </c>
      <c r="J9" s="4" t="inlineStr">
        <is>
          <t>LC/MS specialist.</t>
        </is>
      </c>
    </row>
    <row r="10" ht="15" customFormat="1" customHeight="1" s="4">
      <c r="B10" s="4" t="inlineStr">
        <is>
          <t>Mettler-Toledo</t>
        </is>
      </c>
      <c r="C10" s="4" t="inlineStr">
        <is>
          <t>MTD</t>
        </is>
      </c>
      <c r="D10" s="7" t="n">
        <v>4</v>
      </c>
      <c r="E10" s="7" t="n">
        <v>1.3</v>
      </c>
      <c r="F10" s="7" t="n">
        <v>32</v>
      </c>
      <c r="G10" s="7" t="n">
        <v>1.3</v>
      </c>
      <c r="H10" s="7" t="n">
        <v>33</v>
      </c>
      <c r="I10" s="7" t="n">
        <v>25</v>
      </c>
      <c r="J10" s="4" t="inlineStr">
        <is>
          <t>Highest peer margin discipline.</t>
        </is>
      </c>
    </row>
    <row r="11" ht="15" customFormat="1" customHeight="1" s="4">
      <c r="B11" s="4" t="inlineStr">
        <is>
          <t>Bio-Techne</t>
        </is>
      </c>
      <c r="C11" s="4" t="inlineStr">
        <is>
          <t>TECH</t>
        </is>
      </c>
      <c r="D11" s="7" t="n">
        <v>1.2</v>
      </c>
      <c r="E11" s="7" t="n">
        <v>0.4</v>
      </c>
      <c r="F11" s="7" t="n">
        <v>11</v>
      </c>
      <c r="G11" s="7" t="n">
        <v>0.4</v>
      </c>
      <c r="H11" s="7" t="n">
        <v>11</v>
      </c>
      <c r="I11" s="7" t="n">
        <v>28</v>
      </c>
      <c r="J11" s="4" t="inlineStr">
        <is>
          <t>Reagents; highest growth.</t>
        </is>
      </c>
    </row>
    <row r="12" ht="15" customFormat="1" customHeight="1" s="4">
      <c r="B12" s="4" t="inlineStr">
        <is>
          <t>Sartorius Stedim (EUR)</t>
        </is>
      </c>
      <c r="C12" s="4" t="inlineStr">
        <is>
          <t>DIM.PA</t>
        </is>
      </c>
      <c r="D12" s="7" t="n">
        <v>3</v>
      </c>
      <c r="E12" s="7" t="n">
        <v>1</v>
      </c>
      <c r="F12" s="7" t="n">
        <v>22</v>
      </c>
      <c r="G12" s="7" t="n">
        <v>3</v>
      </c>
      <c r="H12" s="7" t="n">
        <v>25</v>
      </c>
      <c r="I12" s="7" t="n">
        <v>25</v>
      </c>
      <c r="J12" s="4" t="inlineStr">
        <is>
          <t>Bioprocessing pure-play (EUR).</t>
        </is>
      </c>
    </row>
    <row r="13" ht="15" customFormat="1" customHeight="1" s="4">
      <c r="B13" s="4" t="inlineStr">
        <is>
          <t>Revvity</t>
        </is>
      </c>
      <c r="C13" s="4" t="inlineStr">
        <is>
          <t>RVTY</t>
        </is>
      </c>
      <c r="D13" s="7" t="n">
        <v>2.8</v>
      </c>
      <c r="E13" s="7" t="n">
        <v>0.7</v>
      </c>
      <c r="F13" s="7" t="n">
        <v>17</v>
      </c>
      <c r="G13" s="7" t="n">
        <v>2.5</v>
      </c>
      <c r="H13" s="7" t="n">
        <v>19.5</v>
      </c>
      <c r="I13" s="7" t="n">
        <v>28</v>
      </c>
      <c r="J13" s="4" t="inlineStr">
        <is>
          <t>Post-PerkinElmer restructure.</t>
        </is>
      </c>
    </row>
    <row r="14" ht="15" customFormat="1" customHeight="1" s="4">
      <c r="B14" s="4" t="inlineStr">
        <is>
          <t>Bruker</t>
        </is>
      </c>
      <c r="C14" s="4" t="inlineStr">
        <is>
          <t>BRKR</t>
        </is>
      </c>
      <c r="D14" s="7" t="n">
        <v>3.4</v>
      </c>
      <c r="E14" s="7" t="n">
        <v>0.6</v>
      </c>
      <c r="F14" s="7" t="n">
        <v>10</v>
      </c>
      <c r="G14" s="7" t="n">
        <v>1.2</v>
      </c>
      <c r="H14" s="7" t="n">
        <v>11</v>
      </c>
      <c r="I14" s="7" t="n">
        <v>18</v>
      </c>
      <c r="J14" s="4" t="inlineStr">
        <is>
          <t>Below peer-median margins.</t>
        </is>
      </c>
    </row>
    <row r="15" ht="15" customFormat="1" customHeight="1" s="4">
      <c r="B15" s="4" t="inlineStr">
        <is>
          <t>Peer median (ex-DHR)</t>
        </is>
      </c>
      <c r="C15" s="4" t="inlineStr">
        <is>
          <t>—</t>
        </is>
      </c>
      <c r="D15" s="4" t="inlineStr">
        <is>
          <t>—</t>
        </is>
      </c>
      <c r="E15" s="4" t="inlineStr">
        <is>
          <t>—</t>
        </is>
      </c>
      <c r="F15" s="4" t="inlineStr">
        <is>
          <t>—</t>
        </is>
      </c>
      <c r="G15" s="4" t="inlineStr">
        <is>
          <t>—</t>
        </is>
      </c>
      <c r="H15" s="4" t="inlineStr">
        <is>
          <t>—</t>
        </is>
      </c>
      <c r="I15" s="7" t="n">
        <v>24</v>
      </c>
      <c r="J15" s="4" t="inlineStr">
        <is>
          <t>DHR roughly in line with median.</t>
        </is>
      </c>
    </row>
    <row r="16" ht="15" customFormat="1" customHeight="1" s="4"/>
    <row r="17" ht="15" customFormat="1" customHeight="1" s="4">
      <c r="B17" s="4" t="inlineStr">
        <is>
          <t>Illustrative FY2025 approximate. Sartorius Stedim listed on Euronext Paris; USD/EUR ~1.08. All figures rounded for readability.</t>
        </is>
      </c>
    </row>
  </sheetData>
  <mergeCells count="4">
    <mergeCell ref="A1:I1"/>
    <mergeCell ref="B17:J17"/>
    <mergeCell ref="A4:I4"/>
    <mergeCell ref="A3:I3"/>
  </mergeCells>
  <hyperlinks>
    <hyperlink xmlns:r="http://schemas.openxmlformats.org/officeDocument/2006/relationships" ref="A2" location="INDEX!A1" display="TOP OF WORKBOOK  ·  BACK TO INDEX" r:id="rId1"/>
  </hyperlinks>
  <printOptions horizontalCentered="1" verticalCentered="0" headings="0" gridLines="0" gridLinesSet="1"/>
  <pageMargins left="0.5" right="0.5" top="0.5" bottom="0.5" header="0.3" footer="0.3"/>
  <pageSetup orientation="landscape" paperSize="1" scale="100" fitToHeight="0" fitToWidth="1" pageOrder="downThenOver" blackAndWhite="0" draft="0" horizontalDpi="300" verticalDpi="300" copies="1"/>
  <headerFooter differentOddEven="0" differentFirst="0">
    <oddHeader>&amp;L&amp;8 &amp;K3C3F45PEER_COMPS&amp;C&amp;9 &amp;K0d2747PEER_COMPS&amp;R&amp;8 &amp;KC89000BARATELLI INSTITUTE  *  MENTORING AT SCALE</oddHeader>
    <oddFooter>&amp;L&amp;8 &amp;K3C3F45baratelliinstitute.com&amp;C&amp;8 &amp;K3C3F45Page &amp;P of &amp;N&amp;R&amp;8 &amp;K3C3F45Danaher Compounder 2026</oddFooter>
    <evenHeader/>
    <evenFooter/>
    <firstHeader/>
    <firstFooter/>
  </headerFooter>
  <drawing xmlns:r="http://schemas.openxmlformats.org/officeDocument/2006/relationships" r:id="rId2"/>
</worksheet>
</file>

<file path=xl/worksheets/sheet12.xml><?xml version="1.0" encoding="utf-8"?>
<worksheet xmlns="http://schemas.openxmlformats.org/spreadsheetml/2006/main">
  <sheetPr filterMode="0">
    <tabColor rgb="FFC89000"/>
    <outlinePr summaryBelow="1" summaryRight="1"/>
    <pageSetUpPr fitToPage="1"/>
  </sheetPr>
  <dimension ref="A1:H25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A1" activeCellId="0" sqref="A1"/>
    </sheetView>
  </sheetViews>
  <sheetFormatPr baseColWidth="8" defaultColWidth="8.6796875" defaultRowHeight="15" customHeight="0" zeroHeight="0" outlineLevelRow="0"/>
  <cols>
    <col width="34" customWidth="1" style="4" min="1" max="1"/>
    <col width="24" customWidth="1" style="4" min="2" max="2"/>
    <col width="14" customWidth="1" style="4" min="3" max="7"/>
    <col width="20" customWidth="1" style="4" min="8" max="8"/>
  </cols>
  <sheetData>
    <row r="1" ht="21.75" customFormat="1" customHeight="1" s="4">
      <c r="A1" s="4" t="inlineStr">
        <is>
          <t>BARATELLI INSTITUTE  ·  MENTORING AT SCALE  ·  DANAHER COMPOUNDER CASE MODEL  ·  JULY 6, 2026</t>
        </is>
      </c>
    </row>
    <row r="2" ht="13.5" customFormat="1" customHeight="1" s="4">
      <c r="A2" s="6" t="inlineStr">
        <is>
          <t>TOP OF WORKBOOK  ·  BACK TO INDEX</t>
        </is>
      </c>
    </row>
    <row r="3" ht="21.75" customFormat="1" customHeight="1" s="4">
      <c r="A3" s="4" t="inlineStr">
        <is>
          <t>DCF VALUATION — WACC AND TERMINAL GROWTH SENSITIVITY</t>
        </is>
      </c>
    </row>
    <row r="4" ht="25.5" customFormat="1" customHeight="1" s="4">
      <c r="A4" s="4" t="inlineStr">
        <is>
          <t>Table 8c — WACC 8-10%, terminal growth 2-3.5%. Implied share price grid.</t>
        </is>
      </c>
    </row>
    <row r="5" ht="15.75" customFormat="1" customHeight="1" s="4">
      <c r="B5" s="4" t="inlineStr">
        <is>
          <t>TABLE 8c — IMPLIED SHARE PRICE GRID ($)</t>
        </is>
      </c>
    </row>
    <row r="6" ht="21.75" customFormat="1" customHeight="1" s="4">
      <c r="B6" s="4" t="inlineStr">
        <is>
          <t>Terminal growth \ WACC</t>
        </is>
      </c>
      <c r="C6" s="4" t="inlineStr">
        <is>
          <t>8.0%</t>
        </is>
      </c>
      <c r="D6" s="4" t="inlineStr">
        <is>
          <t>8.5%</t>
        </is>
      </c>
      <c r="E6" s="4" t="inlineStr">
        <is>
          <t>9.0%</t>
        </is>
      </c>
      <c r="F6" s="4" t="inlineStr">
        <is>
          <t>9.5%</t>
        </is>
      </c>
      <c r="G6" s="4" t="inlineStr">
        <is>
          <t>10.0%</t>
        </is>
      </c>
      <c r="H6" s="4" t="inlineStr">
        <is>
          <t>Note</t>
        </is>
      </c>
    </row>
    <row r="7" ht="15" customFormat="1" customHeight="1" s="4">
      <c r="B7" s="4" t="inlineStr">
        <is>
          <t>2.0%</t>
        </is>
      </c>
      <c r="C7" s="7" t="n">
        <v>215</v>
      </c>
      <c r="D7" s="7" t="n">
        <v>200</v>
      </c>
      <c r="E7" s="7" t="n">
        <v>188</v>
      </c>
      <c r="F7" s="7" t="n">
        <v>178</v>
      </c>
      <c r="G7" s="7" t="n">
        <v>168</v>
      </c>
      <c r="H7" s="4" t="inlineStr">
        <is>
          <t>Conservative terminal growth.</t>
        </is>
      </c>
    </row>
    <row r="8" ht="15" customFormat="1" customHeight="1" s="4">
      <c r="B8" s="4" t="inlineStr">
        <is>
          <t>2.5%</t>
        </is>
      </c>
      <c r="C8" s="7" t="n">
        <v>235</v>
      </c>
      <c r="D8" s="7" t="n">
        <v>218</v>
      </c>
      <c r="E8" s="7" t="n">
        <v>203</v>
      </c>
      <c r="F8" s="7" t="n">
        <v>190</v>
      </c>
      <c r="G8" s="7" t="n">
        <v>179</v>
      </c>
      <c r="H8" s="4" t="inlineStr">
        <is>
          <t>Base case anchor.</t>
        </is>
      </c>
    </row>
    <row r="9" ht="15" customFormat="1" customHeight="1" s="4">
      <c r="B9" s="4" t="inlineStr">
        <is>
          <t>3.0%</t>
        </is>
      </c>
      <c r="C9" s="7" t="n">
        <v>260</v>
      </c>
      <c r="D9" s="7" t="n">
        <v>240</v>
      </c>
      <c r="E9" s="7" t="n">
        <v>222</v>
      </c>
      <c r="F9" s="7" t="n">
        <v>207</v>
      </c>
      <c r="G9" s="7" t="n">
        <v>193</v>
      </c>
      <c r="H9" s="4" t="inlineStr">
        <is>
          <t>Optimistic base.</t>
        </is>
      </c>
    </row>
    <row r="10" ht="15" customFormat="1" customHeight="1" s="4">
      <c r="B10" s="4" t="inlineStr">
        <is>
          <t>3.5%</t>
        </is>
      </c>
      <c r="C10" s="7" t="n">
        <v>293</v>
      </c>
      <c r="D10" s="7" t="n">
        <v>268</v>
      </c>
      <c r="E10" s="7" t="n">
        <v>246</v>
      </c>
      <c r="F10" s="7" t="n">
        <v>227</v>
      </c>
      <c r="G10" s="7" t="n">
        <v>211</v>
      </c>
      <c r="H10" s="4" t="inlineStr">
        <is>
          <t>Upside case.</t>
        </is>
      </c>
    </row>
    <row r="11" ht="15" customFormat="1" customHeight="1" s="4"/>
    <row r="12" ht="15.75" customFormat="1" customHeight="1" s="4">
      <c r="B12" s="4" t="inlineStr">
        <is>
          <t>DCF INPUTS AND ASSUMPTIONS</t>
        </is>
      </c>
    </row>
    <row r="13" ht="21.75" customFormat="1" customHeight="1" s="4">
      <c r="B13" s="4" t="inlineStr">
        <is>
          <t>Input</t>
        </is>
      </c>
      <c r="C13" s="4" t="inlineStr">
        <is>
          <t>Base value</t>
        </is>
      </c>
      <c r="H13" s="4" t="inlineStr">
        <is>
          <t>Note</t>
        </is>
      </c>
    </row>
    <row r="14" ht="15" customFormat="1" customHeight="1" s="4">
      <c r="B14" s="4" t="inlineStr">
        <is>
          <t>Risk-free rate</t>
        </is>
      </c>
      <c r="C14" s="7" t="n">
        <v>0.0425</v>
      </c>
      <c r="H14" s="4" t="inlineStr">
        <is>
          <t>10-year Treasury July 2026</t>
        </is>
      </c>
    </row>
    <row r="15" ht="15" customFormat="1" customHeight="1" s="4">
      <c r="B15" s="4" t="inlineStr">
        <is>
          <t>Equity risk premium</t>
        </is>
      </c>
      <c r="C15" s="7" t="n">
        <v>0.055</v>
      </c>
      <c r="H15" s="4" t="inlineStr">
        <is>
          <t>Institute practitioner rate</t>
        </is>
      </c>
    </row>
    <row r="16" ht="15" customFormat="1" customHeight="1" s="4">
      <c r="B16" s="4" t="inlineStr">
        <is>
          <t>Beta</t>
        </is>
      </c>
      <c r="C16" s="7" t="n">
        <v>1</v>
      </c>
      <c r="H16" s="4" t="inlineStr">
        <is>
          <t>Life-sciences peer benchmark</t>
        </is>
      </c>
    </row>
    <row r="17" ht="15" customFormat="1" customHeight="1" s="4">
      <c r="B17" s="4" t="inlineStr">
        <is>
          <t>WACC base</t>
        </is>
      </c>
      <c r="C17" s="7" t="n">
        <v>0.09</v>
      </c>
      <c r="H17" s="4" t="inlineStr">
        <is>
          <t>Computed</t>
        </is>
      </c>
    </row>
    <row r="18" ht="15" customFormat="1" customHeight="1" s="4">
      <c r="B18" s="4" t="inlineStr">
        <is>
          <t>Terminal growth base</t>
        </is>
      </c>
      <c r="C18" s="7" t="n">
        <v>0.025</v>
      </c>
      <c r="H18" s="4" t="inlineStr">
        <is>
          <t>Institute conservative</t>
        </is>
      </c>
    </row>
    <row r="19" ht="15" customFormat="1" customHeight="1" s="4">
      <c r="B19" s="4" t="inlineStr">
        <is>
          <t>FY26E FCF ($B)</t>
        </is>
      </c>
      <c r="C19" s="7" t="n">
        <v>6</v>
      </c>
      <c r="H19" s="4" t="inlineStr">
        <is>
          <t>Base year for DCF</t>
        </is>
      </c>
    </row>
    <row r="20" ht="15" customFormat="1" customHeight="1" s="4">
      <c r="B20" s="4" t="inlineStr">
        <is>
          <t>Year 1-5 FCF growth</t>
        </is>
      </c>
      <c r="C20" s="4" t="inlineStr">
        <is>
          <t>6-8%</t>
        </is>
      </c>
      <c r="H20" s="4" t="inlineStr">
        <is>
          <t>Recovery period</t>
        </is>
      </c>
    </row>
    <row r="21" ht="15" customFormat="1" customHeight="1" s="4">
      <c r="B21" s="4" t="inlineStr">
        <is>
          <t>Year 6-10 FCF growth</t>
        </is>
      </c>
      <c r="C21" s="4" t="inlineStr">
        <is>
          <t>4-5%</t>
        </is>
      </c>
      <c r="H21" s="4" t="inlineStr">
        <is>
          <t>Fade to terminal</t>
        </is>
      </c>
    </row>
    <row r="22" ht="15" customFormat="1" customHeight="1" s="4">
      <c r="B22" s="4" t="inlineStr">
        <is>
          <t>Diluted shares (M)</t>
        </is>
      </c>
      <c r="C22" s="7" t="n">
        <v>735</v>
      </c>
      <c r="H22" s="4" t="inlineStr">
        <is>
          <t>Post-buyback FY26</t>
        </is>
      </c>
    </row>
    <row r="23" ht="15" customFormat="1" customHeight="1" s="4">
      <c r="B23" s="4" t="inlineStr">
        <is>
          <t>Current market price ($)</t>
        </is>
      </c>
      <c r="C23" s="7" t="n">
        <v>245</v>
      </c>
      <c r="H23" s="4" t="inlineStr">
        <is>
          <t>Illustrative July 2026</t>
        </is>
      </c>
    </row>
    <row r="24" ht="15" customFormat="1" customHeight="1" s="4">
      <c r="B24" s="4" t="inlineStr">
        <is>
          <t>Implied by base case (9%/2.5%)</t>
        </is>
      </c>
      <c r="C24" s="7" t="n">
        <v>203</v>
      </c>
      <c r="H24" s="4" t="inlineStr">
        <is>
          <t>Under-values DBS premium</t>
        </is>
      </c>
    </row>
    <row r="25" ht="15" customFormat="1" customHeight="1" s="4">
      <c r="B25" s="4" t="inlineStr">
        <is>
          <t>Implied by 9%/3.0%</t>
        </is>
      </c>
      <c r="C25" s="7" t="n">
        <v>222</v>
      </c>
      <c r="H25" s="4" t="inlineStr">
        <is>
          <t>Base with DBS uplift</t>
        </is>
      </c>
    </row>
  </sheetData>
  <mergeCells count="5">
    <mergeCell ref="A4:H4"/>
    <mergeCell ref="A3:H3"/>
    <mergeCell ref="B12:H12"/>
    <mergeCell ref="A1:H1"/>
    <mergeCell ref="B5:H5"/>
  </mergeCells>
  <hyperlinks>
    <hyperlink xmlns:r="http://schemas.openxmlformats.org/officeDocument/2006/relationships" ref="A2" location="INDEX!A1" display="TOP OF WORKBOOK  ·  BACK TO INDEX" r:id="rId1"/>
  </hyperlinks>
  <printOptions horizontalCentered="1" verticalCentered="0" headings="0" gridLines="0" gridLinesSet="1"/>
  <pageMargins left="0.5" right="0.5" top="0.5" bottom="0.5" header="0.3" footer="0.3"/>
  <pageSetup orientation="landscape" paperSize="1" scale="100" fitToHeight="0" fitToWidth="1" pageOrder="downThenOver" blackAndWhite="0" draft="0" horizontalDpi="300" verticalDpi="300" copies="1"/>
  <headerFooter differentOddEven="0" differentFirst="0">
    <oddHeader>&amp;L&amp;8 &amp;K3C3F45DCF_VALUATION&amp;C&amp;9 &amp;K0d2747DCF_VALUATION&amp;R&amp;8 &amp;KC89000BARATELLI INSTITUTE  *  MENTORING AT SCALE</oddHeader>
    <oddFooter>&amp;L&amp;8 &amp;K3C3F45baratelliinstitute.com&amp;C&amp;8 &amp;K3C3F45Page &amp;P of &amp;N&amp;R&amp;8 &amp;K3C3F45Danaher Compounder 2026</oddFooter>
    <evenHeader/>
    <evenFooter/>
    <firstHeader/>
    <firstFooter/>
  </headerFooter>
  <drawing xmlns:r="http://schemas.openxmlformats.org/officeDocument/2006/relationships" r:id="rId2"/>
</worksheet>
</file>

<file path=xl/worksheets/sheet13.xml><?xml version="1.0" encoding="utf-8"?>
<worksheet xmlns="http://schemas.openxmlformats.org/spreadsheetml/2006/main">
  <sheetPr filterMode="0">
    <tabColor rgb="FFC89000"/>
    <outlinePr summaryBelow="1" summaryRight="1"/>
    <pageSetUpPr fitToPage="1"/>
  </sheetPr>
  <dimension ref="A1:G17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A1" activeCellId="0" sqref="A1"/>
    </sheetView>
  </sheetViews>
  <sheetFormatPr baseColWidth="8" defaultColWidth="8.6796875" defaultRowHeight="15" customHeight="0" zeroHeight="0" outlineLevelRow="0"/>
  <cols>
    <col width="34" customWidth="1" style="4" min="1" max="1"/>
    <col width="28" customWidth="1" style="4" min="2" max="2"/>
    <col width="14" customWidth="1" style="4" min="3" max="6"/>
    <col width="30" customWidth="1" style="4" min="7" max="7"/>
  </cols>
  <sheetData>
    <row r="1" ht="21.75" customFormat="1" customHeight="1" s="4">
      <c r="A1" s="4" t="inlineStr">
        <is>
          <t>BARATELLI INSTITUTE  ·  MENTORING AT SCALE  ·  DANAHER COMPOUNDER CASE MODEL  ·  JULY 6, 2026</t>
        </is>
      </c>
    </row>
    <row r="2" ht="13.5" customFormat="1" customHeight="1" s="4">
      <c r="A2" s="6" t="inlineStr">
        <is>
          <t>TOP OF WORKBOOK  ·  BACK TO INDEX</t>
        </is>
      </c>
    </row>
    <row r="3" ht="21.75" customFormat="1" customHeight="1" s="4">
      <c r="A3" s="4" t="inlineStr">
        <is>
          <t>MULTIPLE SENSITIVITY — IMPLIED SHARE PRICE</t>
        </is>
      </c>
    </row>
    <row r="4" ht="25.5" customFormat="1" customHeight="1" s="4">
      <c r="A4" s="4" t="inlineStr">
        <is>
          <t>Peer-based multiple sensitivity: 18x / 22x / 25x / 28x fwd EV/EBITDA on FY2026E EBITDA.</t>
        </is>
      </c>
    </row>
    <row r="5" ht="15.75" customFormat="1" customHeight="1" s="4">
      <c r="B5" s="4" t="inlineStr">
        <is>
          <t>IMPLIED SHARE PRICE MATRIX</t>
        </is>
      </c>
    </row>
    <row r="6" ht="21.75" customFormat="1" customHeight="1" s="4">
      <c r="B6" s="4" t="inlineStr">
        <is>
          <t>FY26E EBITDA ($B) \ EV/EBITDA</t>
        </is>
      </c>
      <c r="C6" s="4" t="inlineStr">
        <is>
          <t>18.0x</t>
        </is>
      </c>
      <c r="D6" s="4" t="inlineStr">
        <is>
          <t>22.0x</t>
        </is>
      </c>
      <c r="E6" s="4" t="inlineStr">
        <is>
          <t>25.0x</t>
        </is>
      </c>
      <c r="F6" s="4" t="inlineStr">
        <is>
          <t>28.0x</t>
        </is>
      </c>
      <c r="G6" s="4" t="inlineStr">
        <is>
          <t>Note</t>
        </is>
      </c>
    </row>
    <row r="7" ht="15" customFormat="1" customHeight="1" s="4">
      <c r="B7" s="7" t="n">
        <v>8</v>
      </c>
      <c r="C7" s="7" t="n">
        <v>178</v>
      </c>
      <c r="D7" s="7" t="n">
        <v>221</v>
      </c>
      <c r="E7" s="7" t="n">
        <v>253</v>
      </c>
      <c r="F7" s="7" t="n">
        <v>285</v>
      </c>
      <c r="G7" s="4" t="inlineStr">
        <is>
          <t>Bear case FY2026E EBITDA.</t>
        </is>
      </c>
    </row>
    <row r="8" ht="15" customFormat="1" customHeight="1" s="4">
      <c r="B8" s="7" t="n">
        <v>8.5</v>
      </c>
      <c r="C8" s="7" t="n">
        <v>190</v>
      </c>
      <c r="D8" s="7" t="n">
        <v>235</v>
      </c>
      <c r="E8" s="7" t="n">
        <v>269</v>
      </c>
      <c r="F8" s="7" t="n">
        <v>303</v>
      </c>
      <c r="G8" s="4" t="inlineStr">
        <is>
          <t>Base case FY2026E EBITDA.</t>
        </is>
      </c>
    </row>
    <row r="9" ht="15" customFormat="1" customHeight="1" s="4">
      <c r="B9" s="7" t="n">
        <v>9</v>
      </c>
      <c r="C9" s="7" t="n">
        <v>202</v>
      </c>
      <c r="D9" s="7" t="n">
        <v>250</v>
      </c>
      <c r="E9" s="7" t="n">
        <v>287</v>
      </c>
      <c r="F9" s="7" t="n">
        <v>323</v>
      </c>
      <c r="G9" s="4" t="inlineStr">
        <is>
          <t>Recovery scenario.</t>
        </is>
      </c>
    </row>
    <row r="10" ht="15" customFormat="1" customHeight="1" s="4">
      <c r="B10" s="7" t="n">
        <v>9.5</v>
      </c>
      <c r="C10" s="7" t="n">
        <v>213</v>
      </c>
      <c r="D10" s="7" t="n">
        <v>265</v>
      </c>
      <c r="E10" s="7" t="n">
        <v>304</v>
      </c>
      <c r="F10" s="7" t="n">
        <v>342</v>
      </c>
      <c r="G10" s="4" t="inlineStr">
        <is>
          <t>Upside case.</t>
        </is>
      </c>
    </row>
    <row r="11" ht="15" customFormat="1" customHeight="1" s="4"/>
    <row r="12" ht="15.75" customFormat="1" customHeight="1" s="4">
      <c r="B12" s="4" t="inlineStr">
        <is>
          <t>READ</t>
        </is>
      </c>
    </row>
    <row r="13" ht="15" customFormat="1" customHeight="1" s="4">
      <c r="B13" s="4" t="inlineStr">
        <is>
          <t>Current market price ~$245</t>
        </is>
      </c>
      <c r="G13" s="4" t="inlineStr">
        <is>
          <t>Consistent with ~$8.5-9B FY26E EBITDA at 22-25x fwd EV/EBITDA.</t>
        </is>
      </c>
    </row>
    <row r="14" ht="15" customFormat="1" customHeight="1" s="4">
      <c r="B14" s="4" t="inlineStr">
        <is>
          <t>Peer median multiple ~19x</t>
        </is>
      </c>
      <c r="G14" s="4" t="inlineStr">
        <is>
          <t>DHR premium ~2-3 turns vs. peer median.</t>
        </is>
      </c>
    </row>
    <row r="15" ht="15" customFormat="1" customHeight="1" s="4">
      <c r="B15" s="4" t="inlineStr">
        <is>
          <t>DBS-implied premium ~5x</t>
        </is>
      </c>
      <c r="G15" s="4" t="inlineStr">
        <is>
          <t>Fully-priced DBS premium gets DHR to ~26x fwd EV/EBITDA.</t>
        </is>
      </c>
    </row>
    <row r="16" ht="15" customFormat="1" customHeight="1" s="4">
      <c r="B16" s="4" t="inlineStr">
        <is>
          <t>Bear case ~$180</t>
        </is>
      </c>
      <c r="G16" s="4" t="inlineStr">
        <is>
          <t>Peer median multiple on bear-case EBITDA.</t>
        </is>
      </c>
    </row>
    <row r="17" ht="15" customFormat="1" customHeight="1" s="4">
      <c r="B17" s="4" t="inlineStr">
        <is>
          <t>Bull case ~$300+</t>
        </is>
      </c>
      <c r="G17" s="4" t="inlineStr">
        <is>
          <t>DBS premium fully credited on upside EBITDA.</t>
        </is>
      </c>
    </row>
  </sheetData>
  <mergeCells count="5">
    <mergeCell ref="A1:G1"/>
    <mergeCell ref="B5:G5"/>
    <mergeCell ref="A3:G3"/>
    <mergeCell ref="A4:G4"/>
    <mergeCell ref="B12:G12"/>
  </mergeCells>
  <hyperlinks>
    <hyperlink xmlns:r="http://schemas.openxmlformats.org/officeDocument/2006/relationships" ref="A2" location="INDEX!A1" display="TOP OF WORKBOOK  ·  BACK TO INDEX" r:id="rId1"/>
  </hyperlinks>
  <printOptions horizontalCentered="1" verticalCentered="0" headings="0" gridLines="0" gridLinesSet="1"/>
  <pageMargins left="0.5" right="0.5" top="0.5" bottom="0.5" header="0.3" footer="0.3"/>
  <pageSetup orientation="landscape" paperSize="1" scale="100" fitToHeight="0" fitToWidth="1" pageOrder="downThenOver" blackAndWhite="0" draft="0" horizontalDpi="300" verticalDpi="300" copies="1"/>
  <headerFooter differentOddEven="0" differentFirst="0">
    <oddHeader>&amp;L&amp;8 &amp;K3C3F45MULTIPLE_SENS&amp;C&amp;9 &amp;K0d2747MULTIPLE_SENS&amp;R&amp;8 &amp;KC89000BARATELLI INSTITUTE  *  MENTORING AT SCALE</oddHeader>
    <oddFooter>&amp;L&amp;8 &amp;K3C3F45baratelliinstitute.com&amp;C&amp;8 &amp;K3C3F45Page &amp;P of &amp;N&amp;R&amp;8 &amp;K3C3F45Danaher Compounder 2026</oddFooter>
    <evenHeader/>
    <evenFooter/>
    <firstHeader/>
    <firstFooter/>
  </headerFooter>
  <drawing xmlns:r="http://schemas.openxmlformats.org/officeDocument/2006/relationships" r:id="rId2"/>
</worksheet>
</file>

<file path=xl/worksheets/sheet14.xml><?xml version="1.0" encoding="utf-8"?>
<worksheet xmlns="http://schemas.openxmlformats.org/spreadsheetml/2006/main">
  <sheetPr filterMode="0">
    <tabColor rgb="FFC89000"/>
    <outlinePr summaryBelow="1" summaryRight="1"/>
    <pageSetUpPr fitToPage="1"/>
  </sheetPr>
  <dimension ref="A1:E26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A1" activeCellId="0" sqref="A1"/>
    </sheetView>
  </sheetViews>
  <sheetFormatPr baseColWidth="8" defaultColWidth="8.6796875" defaultRowHeight="15" customHeight="0" zeroHeight="0" outlineLevelRow="0"/>
  <cols>
    <col width="34" customWidth="1" style="4" min="1" max="1"/>
    <col width="26" customWidth="1" style="4" min="2" max="2"/>
    <col width="22" customWidth="1" style="4" min="3" max="4"/>
    <col width="34" customWidth="1" style="4" min="5" max="5"/>
  </cols>
  <sheetData>
    <row r="1" ht="21.75" customFormat="1" customHeight="1" s="4">
      <c r="A1" s="4" t="inlineStr">
        <is>
          <t>BARATELLI INSTITUTE  ·  MENTORING AT SCALE  ·  DANAHER COMPOUNDER CASE MODEL  ·  JULY 6, 2026</t>
        </is>
      </c>
    </row>
    <row r="2" ht="13.5" customFormat="1" customHeight="1" s="4">
      <c r="A2" s="6" t="inlineStr">
        <is>
          <t>TOP OF WORKBOOK  ·  BACK TO INDEX</t>
        </is>
      </c>
    </row>
    <row r="3" ht="21.75" customFormat="1" customHeight="1" s="4">
      <c r="A3" s="4" t="inlineStr">
        <is>
          <t>CYTIVA + ALDEVRON + ABCAM — BIOTECH PLATFORM</t>
        </is>
      </c>
    </row>
    <row r="4" ht="25.5" customFormat="1" customHeight="1" s="4">
      <c r="A4" s="4" t="inlineStr">
        <is>
          <t>Table 6c integration status + Table 10a Cytiva-at-scale integration risk.</t>
        </is>
      </c>
    </row>
    <row r="5" ht="15.75" customFormat="1" customHeight="1" s="4">
      <c r="B5" s="4" t="inlineStr">
        <is>
          <t>TABLE 6c — BIOTECH PLATFORM INTEGRATION STATUS</t>
        </is>
      </c>
    </row>
    <row r="6" ht="21.75" customFormat="1" customHeight="1" s="4">
      <c r="B6" s="4" t="inlineStr">
        <is>
          <t>Metric</t>
        </is>
      </c>
      <c r="C6" s="4" t="inlineStr">
        <is>
          <t>Pre-close baseline</t>
        </is>
      </c>
      <c r="D6" s="4" t="inlineStr">
        <is>
          <t>FY2025 status</t>
        </is>
      </c>
      <c r="E6" s="4" t="inlineStr">
        <is>
          <t>Institute note</t>
        </is>
      </c>
    </row>
    <row r="7" ht="21.75" customFormat="1" customHeight="1" s="4">
      <c r="B7" s="4" t="inlineStr">
        <is>
          <t>Cytiva revenue ($B)</t>
        </is>
      </c>
      <c r="C7" s="4" t="inlineStr">
        <is>
          <t>~$3.3 (2019 GE Life Sci)</t>
        </is>
      </c>
      <c r="D7" s="4" t="inlineStr">
        <is>
          <t>~$4.5-5 run-rate</t>
        </is>
      </c>
      <c r="E7" s="4" t="inlineStr">
        <is>
          <t>Recovering from 2022-23 destocking.</t>
        </is>
      </c>
    </row>
    <row r="8" ht="21.75" customFormat="1" customHeight="1" s="4">
      <c r="B8" s="4" t="inlineStr">
        <is>
          <t>Cytiva op margin %</t>
        </is>
      </c>
      <c r="C8" s="4" t="inlineStr">
        <is>
          <t>~22-24% (Inst. reconstruction from GE 10-K)</t>
        </is>
      </c>
      <c r="D8" s="4" t="inlineStr">
        <is>
          <t>~28-30% (Inst. reconstruction from DHR calls)</t>
        </is>
      </c>
      <c r="E8" s="4" t="inlineStr">
        <is>
          <t>~5-6pp DBS uplift; segment margin not separately disclosed by Danaher.</t>
        </is>
      </c>
    </row>
    <row r="9" ht="21.75" customFormat="1" customHeight="1" s="4">
      <c r="B9" s="4" t="inlineStr">
        <is>
          <t>Aldevron revenue ($B)</t>
        </is>
      </c>
      <c r="C9" s="4" t="inlineStr">
        <is>
          <t>~$0.5 (2021 pre-close)</t>
        </is>
      </c>
      <c r="D9" s="4" t="inlineStr">
        <is>
          <t>~$0.9-1.0 run-rate</t>
        </is>
      </c>
      <c r="E9" s="4" t="inlineStr">
        <is>
          <t>Steady mRNA + gene therapy.</t>
        </is>
      </c>
    </row>
    <row r="10" ht="21.75" customFormat="1" customHeight="1" s="4">
      <c r="B10" s="4" t="inlineStr">
        <is>
          <t>Aldevron op margin %</t>
        </is>
      </c>
      <c r="C10" s="4" t="inlineStr">
        <is>
          <t>~35-40%</t>
        </is>
      </c>
      <c r="D10" s="4" t="inlineStr">
        <is>
          <t>~35-40%</t>
        </is>
      </c>
      <c r="E10" s="4" t="inlineStr">
        <is>
          <t>High-margin at close; steady.</t>
        </is>
      </c>
    </row>
    <row r="11" ht="21.75" customFormat="1" customHeight="1" s="4">
      <c r="B11" s="4" t="inlineStr">
        <is>
          <t>Abcam revenue ($B)</t>
        </is>
      </c>
      <c r="C11" s="4" t="inlineStr">
        <is>
          <t>~$0.4 (2023 pre-close)</t>
        </is>
      </c>
      <c r="D11" s="4" t="inlineStr">
        <is>
          <t>~$0.5 run-rate</t>
        </is>
      </c>
      <c r="E11" s="4" t="inlineStr">
        <is>
          <t>DBS installation in progress.</t>
        </is>
      </c>
    </row>
    <row r="12" ht="21.75" customFormat="1" customHeight="1" s="4">
      <c r="B12" s="4" t="inlineStr">
        <is>
          <t>Working capital days</t>
        </is>
      </c>
      <c r="C12" s="4" t="inlineStr">
        <is>
          <t>~85-95 pre-close</t>
        </is>
      </c>
      <c r="D12" s="4" t="inlineStr">
        <is>
          <t>~65-75 FY25</t>
        </is>
      </c>
      <c r="E12" s="4" t="inlineStr">
        <is>
          <t>20-day WC-cycle improvement.</t>
        </is>
      </c>
    </row>
    <row r="13" ht="21.75" customFormat="1" customHeight="1" s="4">
      <c r="B13" s="4" t="inlineStr">
        <is>
          <t>Bioprocessing book-to-bill</t>
        </is>
      </c>
      <c r="C13" s="4" t="inlineStr">
        <is>
          <t>Peak &gt;1.5 in 2020-21</t>
        </is>
      </c>
      <c r="D13" s="4" t="inlineStr">
        <is>
          <t>1.02 Q1 26; 1.05 Q2 26</t>
        </is>
      </c>
      <c r="E13" s="4" t="inlineStr">
        <is>
          <t>Recovery confirmed.</t>
        </is>
      </c>
    </row>
    <row r="14" ht="21.75" customFormat="1" customHeight="1" s="4">
      <c r="B14" s="4" t="inlineStr">
        <is>
          <t>Aggregate biotech ROIC</t>
        </is>
      </c>
      <c r="C14" s="4" t="inlineStr">
        <is>
          <t>~$27B cost basis</t>
        </is>
      </c>
      <c r="D14" s="4" t="inlineStr">
        <is>
          <t>~7-9% current</t>
        </is>
      </c>
      <c r="E14" s="4" t="inlineStr">
        <is>
          <t>Path to 11-13% by FY27 required.</t>
        </is>
      </c>
    </row>
    <row r="15" ht="15" customFormat="1" customHeight="1" s="4"/>
    <row r="16" ht="15.75" customFormat="1" customHeight="1" s="4">
      <c r="B16" s="4" t="inlineStr">
        <is>
          <t>TABLE 10a — CYTIVA INTEGRATION RISK: DOES DBS SCALE?</t>
        </is>
      </c>
    </row>
    <row r="17" ht="21.75" customFormat="1" customHeight="1" s="4">
      <c r="B17" s="4" t="inlineStr">
        <is>
          <t>Dimension</t>
        </is>
      </c>
      <c r="C17" s="4" t="inlineStr">
        <is>
          <t>Historical DBS record</t>
        </is>
      </c>
      <c r="D17" s="4" t="inlineStr">
        <is>
          <t>Cytiva at $21.4B</t>
        </is>
      </c>
    </row>
    <row r="18" ht="19.5" customFormat="1" customHeight="1" s="4">
      <c r="B18" s="4" t="inlineStr">
        <is>
          <t>Typical target size</t>
        </is>
      </c>
      <c r="C18" s="4" t="inlineStr">
        <is>
          <t>$100M - $5B</t>
        </is>
      </c>
      <c r="D18" s="4" t="inlineStr">
        <is>
          <t>$21.4B — 3-5x larger</t>
        </is>
      </c>
    </row>
    <row r="19" ht="19.5" customFormat="1" customHeight="1" s="4">
      <c r="B19" s="4" t="inlineStr">
        <is>
          <t>Integration timeline</t>
        </is>
      </c>
      <c r="C19" s="4" t="inlineStr">
        <is>
          <t>Day 100 install; 2-3 yr maturity</t>
        </is>
      </c>
      <c r="D19" s="4" t="inlineStr">
        <is>
          <t>5 years to date; incomplete</t>
        </is>
      </c>
    </row>
    <row r="20" ht="19.5" customFormat="1" customHeight="1" s="4">
      <c r="B20" s="4" t="inlineStr">
        <is>
          <t>DBS coach team size</t>
        </is>
      </c>
      <c r="C20" s="4" t="inlineStr">
        <is>
          <t>3-5 coaches typical</t>
        </is>
      </c>
      <c r="D20" s="4" t="inlineStr">
        <is>
          <t>30+ coaches for Cytiva</t>
        </is>
      </c>
    </row>
    <row r="21" ht="19.5" customFormat="1" customHeight="1" s="4">
      <c r="B21" s="4" t="inlineStr">
        <is>
          <t>Margin uplift trajectory</t>
        </is>
      </c>
      <c r="C21" s="4" t="inlineStr">
        <is>
          <t>3-5pp over 2-3 yrs</t>
        </is>
      </c>
      <c r="D21" s="4" t="inlineStr">
        <is>
          <t>~5-6pp on 5-yr window; in line</t>
        </is>
      </c>
    </row>
    <row r="22" ht="19.5" customFormat="1" customHeight="1" s="4">
      <c r="B22" s="4" t="inlineStr">
        <is>
          <t>Watch KPI</t>
        </is>
      </c>
      <c r="C22" s="4" t="inlineStr">
        <is>
          <t>Segment margin quarter-by-quarter</t>
        </is>
      </c>
      <c r="D22" s="4" t="inlineStr">
        <is>
          <t>Target ~32-34% by FY2027</t>
        </is>
      </c>
    </row>
    <row r="23" ht="15" customFormat="1" customHeight="1" s="4">
      <c r="B23" s="4" t="inlineStr">
        <is>
          <t>SOURCING HYGIENE — CYTIVA OPERATING MARGIN</t>
        </is>
      </c>
    </row>
    <row r="24" ht="30" customFormat="1" customHeight="1" s="4">
      <c r="B24" s="4" t="inlineStr">
        <is>
          <t>Pre-close 22-24%: Institute reconstruction from GE Healthcare Life Sciences pre-separation segment disclosure in GE 10-Ks 2018-2019 (biopharma segment prior to Cytiva carve-out to Danaher March 2020).</t>
        </is>
      </c>
    </row>
    <row r="25" ht="30" customFormat="1" customHeight="1" s="4">
      <c r="B25" s="4" t="inlineStr">
        <is>
          <t>Post-close 28-30%: Practitioner estimate reconstructed from Danaher Q3 2021 and Q1 2022 earnings-call commentary on Cytiva integration margin trajectory; triangulated against Sartorius Stedim FY2020-FY2025 comparable bioprocessing margins.</t>
        </is>
      </c>
    </row>
    <row r="26" ht="30" customFormat="1" customHeight="1" s="4">
      <c r="B26" s="4" t="inlineStr">
        <is>
          <t>Caveat: Danaher does not disclose Cytiva segment operating margin as a stand-alone line item. Uncertainty on the order of ±200 basis points.</t>
        </is>
      </c>
    </row>
  </sheetData>
  <mergeCells count="8">
    <mergeCell ref="B26:E26"/>
    <mergeCell ref="A4:E4"/>
    <mergeCell ref="B16:E16"/>
    <mergeCell ref="A1:E1"/>
    <mergeCell ref="B25:E25"/>
    <mergeCell ref="B24:E24"/>
    <mergeCell ref="B5:E5"/>
    <mergeCell ref="A3:E3"/>
  </mergeCells>
  <hyperlinks>
    <hyperlink xmlns:r="http://schemas.openxmlformats.org/officeDocument/2006/relationships" ref="A2" location="INDEX!A1" display="TOP OF WORKBOOK  ·  BACK TO INDEX" r:id="rId1"/>
  </hyperlinks>
  <printOptions horizontalCentered="1" verticalCentered="0" headings="0" gridLines="0" gridLinesSet="1"/>
  <pageMargins left="0.5" right="0.5" top="0.5" bottom="0.5" header="0.3" footer="0.3"/>
  <pageSetup orientation="landscape" paperSize="1" scale="100" fitToHeight="0" fitToWidth="1" pageOrder="downThenOver" blackAndWhite="0" draft="0" horizontalDpi="300" verticalDpi="300" copies="1"/>
  <headerFooter differentOddEven="0" differentFirst="0">
    <oddHeader>&amp;L&amp;8 &amp;K3C3F45CYTIVA_PLATFORM&amp;C&amp;9 &amp;K0d2747CYTIVA_PLATFORM&amp;R&amp;8 &amp;KC89000BARATELLI INSTITUTE  *  MENTORING AT SCALE</oddHeader>
    <oddFooter>&amp;L&amp;8 &amp;K3C3F45baratelliinstitute.com&amp;C&amp;8 &amp;K3C3F45Page &amp;P of &amp;N&amp;R&amp;8 &amp;K3C3F45Danaher Compounder 2026</oddFooter>
    <evenHeader/>
    <evenFooter/>
    <firstHeader/>
    <firstFooter/>
  </headerFooter>
  <drawing xmlns:r="http://schemas.openxmlformats.org/officeDocument/2006/relationships" r:id="rId2"/>
</worksheet>
</file>

<file path=xl/worksheets/sheet15.xml><?xml version="1.0" encoding="utf-8"?>
<worksheet xmlns="http://schemas.openxmlformats.org/spreadsheetml/2006/main">
  <sheetPr filterMode="0">
    <tabColor rgb="FFC89000"/>
    <outlinePr summaryBelow="1" summaryRight="1"/>
    <pageSetUpPr fitToPage="1"/>
  </sheetPr>
  <dimension ref="A1:F22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A1" activeCellId="0" sqref="A1"/>
    </sheetView>
  </sheetViews>
  <sheetFormatPr baseColWidth="8" defaultColWidth="8.6796875" defaultRowHeight="15" customHeight="0" zeroHeight="0" outlineLevelRow="0"/>
  <cols>
    <col width="34" customWidth="1" style="4" min="1" max="1"/>
    <col width="26" customWidth="1" style="4" min="2" max="2"/>
    <col width="18" customWidth="1" style="4" min="3" max="3"/>
    <col width="26" customWidth="1" style="4" min="4" max="4"/>
    <col width="16" customWidth="1" style="4" min="5" max="5"/>
    <col width="32" customWidth="1" style="4" min="6" max="6"/>
  </cols>
  <sheetData>
    <row r="1" ht="21.75" customFormat="1" customHeight="1" s="4">
      <c r="A1" s="4" t="inlineStr">
        <is>
          <t>BARATELLI INSTITUTE  ·  MENTORING AT SCALE  ·  DANAHER COMPOUNDER CASE MODEL  ·  JULY 6, 2026</t>
        </is>
      </c>
    </row>
    <row r="2" ht="13.5" customFormat="1" customHeight="1" s="4">
      <c r="A2" s="6" t="inlineStr">
        <is>
          <t>TOP OF WORKBOOK  ·  BACK TO INDEX</t>
        </is>
      </c>
    </row>
    <row r="3" ht="21.75" customFormat="1" customHeight="1" s="4">
      <c r="A3" s="4" t="inlineStr">
        <is>
          <t>DBS PREMIUM QUANTIFIED — DHR-LINEAGE vs. NON-DBS PEERS</t>
        </is>
      </c>
    </row>
    <row r="4" ht="25.5" customFormat="1" customHeight="1" s="4">
      <c r="A4" s="4" t="inlineStr">
        <is>
          <t>Table 9b — the DBS premium in EV/EBITDA turns. Aggregate ~6-8 turns.</t>
        </is>
      </c>
    </row>
    <row r="5" ht="15.75" customFormat="1" customHeight="1" s="4">
      <c r="B5" s="4" t="inlineStr">
        <is>
          <t>TABLE 9b — DBS PREMIUM BY SEGMENT / PEER SET</t>
        </is>
      </c>
    </row>
    <row r="6" ht="21.75" customFormat="1" customHeight="1" s="4">
      <c r="B6" s="4" t="inlineStr">
        <is>
          <t>Segment / peer set</t>
        </is>
      </c>
      <c r="C6" s="4" t="inlineStr">
        <is>
          <t>DBS-lineage EV/EBITDA</t>
        </is>
      </c>
      <c r="D6" s="4" t="inlineStr">
        <is>
          <t>Non-DBS peer EV/EBITDA</t>
        </is>
      </c>
      <c r="E6" s="4" t="inlineStr">
        <is>
          <t>DBS premium (turns)</t>
        </is>
      </c>
      <c r="F6" s="4" t="inlineStr">
        <is>
          <t>Institute read</t>
        </is>
      </c>
    </row>
    <row r="7" ht="21.75" customFormat="1" customHeight="1" s="4">
      <c r="B7" s="4" t="inlineStr">
        <is>
          <t>Life sciences tools</t>
        </is>
      </c>
      <c r="C7" s="4" t="inlineStr">
        <is>
          <t>~20-22x (DHR)</t>
        </is>
      </c>
      <c r="D7" s="4" t="inlineStr">
        <is>
          <t>~17-19x (TMO, A, WAT)</t>
        </is>
      </c>
      <c r="E7" s="4" t="inlineStr">
        <is>
          <t>~2-3</t>
        </is>
      </c>
      <c r="F7" s="4" t="inlineStr">
        <is>
          <t>Modest; peers already high.</t>
        </is>
      </c>
    </row>
    <row r="8" ht="21.75" customFormat="1" customHeight="1" s="4">
      <c r="B8" s="4" t="inlineStr">
        <is>
          <t>Industrial technology</t>
        </is>
      </c>
      <c r="C8" s="4" t="inlineStr">
        <is>
          <t>~19x (FTV)</t>
        </is>
      </c>
      <c r="D8" s="4" t="inlineStr">
        <is>
          <t>~14-16x (Roper, IEX, AME)</t>
        </is>
      </c>
      <c r="E8" s="4" t="inlineStr">
        <is>
          <t>~3-5</t>
        </is>
      </c>
      <c r="F8" s="4" t="inlineStr">
        <is>
          <t>Larger; industrial peers lower.</t>
        </is>
      </c>
    </row>
    <row r="9" ht="21.75" customFormat="1" customHeight="1" s="4">
      <c r="B9" s="4" t="inlineStr">
        <is>
          <t>Water quality + product ID</t>
        </is>
      </c>
      <c r="C9" s="4" t="inlineStr">
        <is>
          <t>~18x (VLTO)</t>
        </is>
      </c>
      <c r="D9" s="4" t="inlineStr">
        <is>
          <t>~13-15x (Xylem, Pentair, Watts)</t>
        </is>
      </c>
      <c r="E9" s="4" t="inlineStr">
        <is>
          <t>~3-5</t>
        </is>
      </c>
      <c r="F9" s="4" t="inlineStr">
        <is>
          <t>Water infra rating baseline.</t>
        </is>
      </c>
    </row>
    <row r="10" ht="21.75" customFormat="1" customHeight="1" s="4">
      <c r="B10" s="4" t="inlineStr">
        <is>
          <t>Dental products</t>
        </is>
      </c>
      <c r="C10" s="4" t="inlineStr">
        <is>
          <t>~10x (NVST cycle-low)</t>
        </is>
      </c>
      <c r="D10" s="4" t="inlineStr">
        <is>
          <t>~14-16x (Henry Schein, Patterson)</t>
        </is>
      </c>
      <c r="E10" s="4" t="inlineStr">
        <is>
          <t>neg</t>
        </is>
      </c>
      <c r="F10" s="4" t="inlineStr">
        <is>
          <t>Envista is the counterexample.</t>
        </is>
      </c>
    </row>
    <row r="11" ht="21.75" customFormat="1" customHeight="1" s="4">
      <c r="B11" s="4" t="inlineStr">
        <is>
          <t>Blended DBS-lineage premium</t>
        </is>
      </c>
      <c r="C11" s="4" t="inlineStr">
        <is>
          <t>~24x</t>
        </is>
      </c>
      <c r="D11" s="4" t="inlineStr">
        <is>
          <t>~16-18x</t>
        </is>
      </c>
      <c r="E11" s="4" t="inlineStr">
        <is>
          <t>~6-8 observed; 2-5 attrib. to DBS</t>
        </is>
      </c>
      <c r="F11" s="4" t="inlineStr">
        <is>
          <t>Aggregate 6-8 turn observed premium; 2-5 turns attributable to DBS specifically. Balance: portfolio construction + management continuity + cycle.</t>
        </is>
      </c>
    </row>
    <row r="12" ht="15" customFormat="1" customHeight="1" s="4"/>
    <row r="13" ht="15.75" customFormat="1" customHeight="1" s="4">
      <c r="B13" s="4" t="inlineStr">
        <is>
          <t>PREMIUM DECOMPOSITION — RANGE TREATMENT</t>
        </is>
      </c>
    </row>
    <row r="14" ht="21.75" customFormat="1" customHeight="1" s="4">
      <c r="B14" s="4" t="inlineStr">
        <is>
          <t>Component</t>
        </is>
      </c>
      <c r="C14" s="4" t="inlineStr">
        <is>
          <t>Turns of EV/EBITDA</t>
        </is>
      </c>
      <c r="F14" s="4" t="inlineStr">
        <is>
          <t>Institute note</t>
        </is>
      </c>
    </row>
    <row r="15" ht="18" customFormat="1" customHeight="1" s="4">
      <c r="B15" s="4" t="inlineStr">
        <is>
          <t>DBS operating uplift</t>
        </is>
      </c>
      <c r="C15" s="4" t="inlineStr">
        <is>
          <t>2 - 5 turns</t>
        </is>
      </c>
      <c r="F15" s="4" t="inlineStr">
        <is>
          <t>The honest range on DBS-specific attribution. Not a point estimate.</t>
        </is>
      </c>
    </row>
    <row r="16" ht="18" customFormat="1" customHeight="1" s="4">
      <c r="B16" s="4" t="inlineStr">
        <is>
          <t>Portfolio construction (LS + Dx tilt)</t>
        </is>
      </c>
      <c r="C16" s="4" t="inlineStr">
        <is>
          <t>1 - 3 turns</t>
        </is>
      </c>
      <c r="F16" s="4" t="inlineStr">
        <is>
          <t>Peer set (TMO, Sartorius) trades at similar multiples without DBS — evidence portfolio explains a larger share than earlier read.</t>
        </is>
      </c>
    </row>
    <row r="17" ht="18" customFormat="1" customHeight="1" s="4">
      <c r="B17" s="4" t="inlineStr">
        <is>
          <t>Management continuity (Culp/Blair)</t>
        </is>
      </c>
      <c r="C17" s="4" t="inlineStr">
        <is>
          <t>0.5 - 1.5 turns</t>
        </is>
      </c>
      <c r="F17" s="4" t="inlineStr">
        <is>
          <t>Leadership halo — governance + capital allocation credit.</t>
        </is>
      </c>
    </row>
    <row r="18" ht="18" customFormat="1" customHeight="1" s="4">
      <c r="B18" s="4" t="inlineStr">
        <is>
          <t>Cycle timing</t>
        </is>
      </c>
      <c r="C18" s="4" t="inlineStr">
        <is>
          <t>0 - 1 turn</t>
        </is>
      </c>
      <c r="F18" s="4" t="inlineStr">
        <is>
          <t>Bioprocessing recovery / secular tailwinds.</t>
        </is>
      </c>
    </row>
    <row r="19" ht="18" customFormat="1" customHeight="1" s="4">
      <c r="B19" s="4" t="inlineStr">
        <is>
          <t>Total observed premium</t>
        </is>
      </c>
      <c r="C19" s="4" t="inlineStr">
        <is>
          <t>~6-8 turns</t>
        </is>
      </c>
      <c r="F19" s="4" t="inlineStr">
        <is>
          <t>Consistent with the peer-benchmark spread in the top panel.</t>
        </is>
      </c>
    </row>
    <row r="20" ht="15" customFormat="1" customHeight="1" s="4"/>
    <row r="21" ht="15" customFormat="1" customHeight="1" s="4">
      <c r="B21" s="4" t="inlineStr">
        <is>
          <t>ATTRIBUTION CAVEAT</t>
        </is>
      </c>
    </row>
    <row r="22" ht="60" customFormat="1" customHeight="1" s="4">
      <c r="B22" s="4" t="inlineStr">
        <is>
          <t>DBS-premium attribution is inherently uncertain. Peer companies (Thermo Fisher, Sartorius) trade at similar multiples without DBS discipline, suggesting portfolio composition may explain a larger share of the observed premium than the memo's narrative asserts. The 2-5 turn range on DBS-specific attribution reflects the honest uncertainty in decomposing an observed multiple premium into (i) operating-system value-add, (ii) portfolio/sector-mix effect, (iii) management-continuity halo, and (iv) cycle timing. A rigorous quantification requires a controlled peer study isolating each factor.</t>
        </is>
      </c>
    </row>
  </sheetData>
  <mergeCells count="6">
    <mergeCell ref="A1:F1"/>
    <mergeCell ref="B5:F5"/>
    <mergeCell ref="B22:F22"/>
    <mergeCell ref="A4:F4"/>
    <mergeCell ref="A3:F3"/>
    <mergeCell ref="B13:F13"/>
  </mergeCells>
  <hyperlinks>
    <hyperlink xmlns:r="http://schemas.openxmlformats.org/officeDocument/2006/relationships" ref="A2" location="INDEX!A1" display="TOP OF WORKBOOK  ·  BACK TO INDEX" r:id="rId1"/>
  </hyperlinks>
  <printOptions horizontalCentered="1" verticalCentered="0" headings="0" gridLines="0" gridLinesSet="1"/>
  <pageMargins left="0.5" right="0.5" top="0.5" bottom="0.5" header="0.3" footer="0.3"/>
  <pageSetup orientation="landscape" paperSize="1" scale="100" fitToHeight="0" fitToWidth="1" pageOrder="downThenOver" blackAndWhite="0" draft="0" horizontalDpi="300" verticalDpi="300" copies="1"/>
  <headerFooter differentOddEven="0" differentFirst="0">
    <oddHeader>&amp;L&amp;8 &amp;K3C3F45DBS_PREMIUM&amp;C&amp;9 &amp;K0d2747DBS_PREMIUM&amp;R&amp;8 &amp;KC89000BARATELLI INSTITUTE  *  MENTORING AT SCALE</oddHeader>
    <oddFooter>&amp;L&amp;8 &amp;K3C3F45baratelliinstitute.com&amp;C&amp;8 &amp;K3C3F45Page &amp;P of &amp;N&amp;R&amp;8 &amp;K3C3F45Danaher Compounder 2026</oddFooter>
    <evenHeader/>
    <evenFooter/>
    <firstHeader/>
    <firstFooter/>
  </headerFooter>
  <drawing xmlns:r="http://schemas.openxmlformats.org/officeDocument/2006/relationships" r:id="rId2"/>
</worksheet>
</file>

<file path=xl/worksheets/sheet16.xml><?xml version="1.0" encoding="utf-8"?>
<worksheet xmlns="http://schemas.openxmlformats.org/spreadsheetml/2006/main">
  <sheetPr filterMode="0">
    <tabColor rgb="FFC89000"/>
    <outlinePr summaryBelow="1" summaryRight="1"/>
    <pageSetUpPr fitToPage="1"/>
  </sheetPr>
  <dimension ref="A1:G16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A1" activeCellId="0" sqref="A1"/>
    </sheetView>
  </sheetViews>
  <sheetFormatPr baseColWidth="8" defaultColWidth="8.6796875" defaultRowHeight="15" customHeight="0" zeroHeight="0" outlineLevelRow="0"/>
  <cols>
    <col width="34" customWidth="1" style="4" min="1" max="1"/>
    <col width="20" customWidth="1" style="4" min="2" max="2"/>
    <col width="14" customWidth="1" style="4" min="3" max="6"/>
    <col width="30" customWidth="1" style="4" min="7" max="7"/>
  </cols>
  <sheetData>
    <row r="1" ht="21.75" customFormat="1" customHeight="1" s="4">
      <c r="A1" s="4" t="inlineStr">
        <is>
          <t>BARATELLI INSTITUTE  ·  MENTORING AT SCALE  ·  DANAHER COMPOUNDER CASE MODEL  ·  JULY 6, 2026</t>
        </is>
      </c>
    </row>
    <row r="2" ht="13.5" customFormat="1" customHeight="1" s="4">
      <c r="A2" s="6" t="inlineStr">
        <is>
          <t>TOP OF WORKBOOK  ·  BACK TO INDEX</t>
        </is>
      </c>
    </row>
    <row r="3" ht="21.75" customFormat="1" customHeight="1" s="4">
      <c r="A3" s="4" t="inlineStr">
        <is>
          <t>SCENARIO ANALYSIS — BASE / BULL / BEAR</t>
        </is>
      </c>
    </row>
    <row r="4" ht="25.5" customFormat="1" customHeight="1" s="4">
      <c r="A4" s="4" t="inlineStr">
        <is>
          <t>Three-scenario framework with probability weighting and implied share price range.</t>
        </is>
      </c>
    </row>
    <row r="5" ht="15.75" customFormat="1" customHeight="1" s="4">
      <c r="B5" s="4" t="inlineStr">
        <is>
          <t>THREE-SCENARIO FRAMEWORK</t>
        </is>
      </c>
    </row>
    <row r="6" ht="21.75" customFormat="1" customHeight="1" s="4">
      <c r="B6" s="4" t="inlineStr">
        <is>
          <t>Scenario</t>
        </is>
      </c>
      <c r="C6" s="4" t="inlineStr">
        <is>
          <t>Probability</t>
        </is>
      </c>
      <c r="D6" s="4" t="inlineStr">
        <is>
          <t>FY27E rev ($B)</t>
        </is>
      </c>
      <c r="E6" s="4" t="inlineStr">
        <is>
          <t>FY27E EBITDA ($B)</t>
        </is>
      </c>
      <c r="F6" s="4" t="inlineStr">
        <is>
          <t>Multiple</t>
        </is>
      </c>
      <c r="G6" s="4" t="inlineStr">
        <is>
          <t>Implied share px ($)</t>
        </is>
      </c>
    </row>
    <row r="7" ht="18" customFormat="1" customHeight="1" s="4">
      <c r="B7" s="4" t="inlineStr">
        <is>
          <t>Bull case</t>
        </is>
      </c>
      <c r="C7" s="7" t="n">
        <v>0.25</v>
      </c>
      <c r="D7" s="7" t="n">
        <v>28.5</v>
      </c>
      <c r="E7" s="7" t="n">
        <v>10.5</v>
      </c>
      <c r="F7" s="7" t="n">
        <v>26</v>
      </c>
      <c r="G7" s="7" t="n">
        <v>353</v>
      </c>
    </row>
    <row r="8" ht="18" customFormat="1" customHeight="1" s="4">
      <c r="B8" s="4" t="inlineStr">
        <is>
          <t>Base case</t>
        </is>
      </c>
      <c r="C8" s="7" t="n">
        <v>0.5</v>
      </c>
      <c r="D8" s="7" t="n">
        <v>26.5</v>
      </c>
      <c r="E8" s="7" t="n">
        <v>9</v>
      </c>
      <c r="F8" s="7" t="n">
        <v>22</v>
      </c>
      <c r="G8" s="7" t="n">
        <v>251</v>
      </c>
    </row>
    <row r="9" ht="18" customFormat="1" customHeight="1" s="4">
      <c r="B9" s="4" t="inlineStr">
        <is>
          <t>Bear case</t>
        </is>
      </c>
      <c r="C9" s="7" t="n">
        <v>0.25</v>
      </c>
      <c r="D9" s="7" t="n">
        <v>24.5</v>
      </c>
      <c r="E9" s="7" t="n">
        <v>7.5</v>
      </c>
      <c r="F9" s="7" t="n">
        <v>18</v>
      </c>
      <c r="G9" s="7" t="n">
        <v>165</v>
      </c>
    </row>
    <row r="10" ht="18" customFormat="1" customHeight="1" s="4">
      <c r="B10" s="4" t="inlineStr">
        <is>
          <t>Prob-weighted</t>
        </is>
      </c>
      <c r="C10" s="7" t="n">
        <v>1</v>
      </c>
      <c r="D10" s="7" t="n">
        <v>26.5</v>
      </c>
      <c r="E10" s="7" t="n">
        <v>9</v>
      </c>
      <c r="F10" s="7" t="n">
        <v>22</v>
      </c>
      <c r="G10" s="7" t="n">
        <v>255</v>
      </c>
    </row>
    <row r="11" ht="15" customFormat="1" customHeight="1" s="4"/>
    <row r="12" ht="15.75" customFormat="1" customHeight="1" s="4">
      <c r="B12" s="4" t="inlineStr">
        <is>
          <t>SCENARIO NARRATIVES</t>
        </is>
      </c>
    </row>
    <row r="13" ht="21.75" customFormat="1" customHeight="1" s="4">
      <c r="B13" s="4" t="inlineStr">
        <is>
          <t>Scenario</t>
        </is>
      </c>
      <c r="C13" s="4" t="inlineStr">
        <is>
          <t>Key drivers</t>
        </is>
      </c>
      <c r="G13" s="4" t="inlineStr">
        <is>
          <t>Downside risk / upside driver</t>
        </is>
      </c>
    </row>
    <row r="14" ht="21.75" customFormat="1" customHeight="1" s="4">
      <c r="B14" s="4" t="inlineStr">
        <is>
          <t>Bull case</t>
        </is>
      </c>
      <c r="C14" s="4" t="inlineStr">
        <is>
          <t>Cytiva DBS success + bioprocessing supercycle</t>
        </is>
      </c>
      <c r="G14" s="4" t="inlineStr">
        <is>
          <t>Cytiva margin reaches 32-34% by FY27; biotech organic +10%.</t>
        </is>
      </c>
    </row>
    <row r="15" ht="21.75" customFormat="1" customHeight="1" s="4">
      <c r="B15" s="4" t="inlineStr">
        <is>
          <t>Base case</t>
        </is>
      </c>
      <c r="C15" s="4" t="inlineStr">
        <is>
          <t>Steady DBS discipline + moderate recovery</t>
        </is>
      </c>
      <c r="G15" s="4" t="inlineStr">
        <is>
          <t>Cytiva margin ~28-30%; biotech organic +6-8%.</t>
        </is>
      </c>
    </row>
    <row r="16" ht="21.75" customFormat="1" customHeight="1" s="4">
      <c r="B16" s="4" t="inlineStr">
        <is>
          <t>Bear case</t>
        </is>
      </c>
      <c r="C16" s="4" t="inlineStr">
        <is>
          <t>Cytiva integration stalls; peer competition</t>
        </is>
      </c>
      <c r="G16" s="4" t="inlineStr">
        <is>
          <t>Cytiva margin plateaus &lt;28%; DBS premium compresses.</t>
        </is>
      </c>
    </row>
  </sheetData>
  <mergeCells count="5">
    <mergeCell ref="A1:G1"/>
    <mergeCell ref="B5:G5"/>
    <mergeCell ref="A3:G3"/>
    <mergeCell ref="A4:G4"/>
    <mergeCell ref="B12:G12"/>
  </mergeCells>
  <hyperlinks>
    <hyperlink xmlns:r="http://schemas.openxmlformats.org/officeDocument/2006/relationships" ref="A2" location="INDEX!A1" display="TOP OF WORKBOOK  ·  BACK TO INDEX" r:id="rId1"/>
  </hyperlinks>
  <printOptions horizontalCentered="1" verticalCentered="0" headings="0" gridLines="0" gridLinesSet="1"/>
  <pageMargins left="0.5" right="0.5" top="0.5" bottom="0.5" header="0.3" footer="0.3"/>
  <pageSetup orientation="landscape" paperSize="1" scale="100" fitToHeight="0" fitToWidth="1" pageOrder="downThenOver" blackAndWhite="0" draft="0" horizontalDpi="300" verticalDpi="300" copies="1"/>
  <headerFooter differentOddEven="0" differentFirst="0">
    <oddHeader>&amp;L&amp;8 &amp;K3C3F45RISK_SCENARIOS&amp;C&amp;9 &amp;K0d2747RISK_SCENARIOS&amp;R&amp;8 &amp;KC89000BARATELLI INSTITUTE  *  MENTORING AT SCALE</oddHeader>
    <oddFooter>&amp;L&amp;8 &amp;K3C3F45baratelliinstitute.com&amp;C&amp;8 &amp;K3C3F45Page &amp;P of &amp;N&amp;R&amp;8 &amp;K3C3F45Danaher Compounder 2026</oddFooter>
    <evenHeader/>
    <evenFooter/>
    <firstHeader/>
    <firstFooter/>
  </headerFooter>
  <drawing xmlns:r="http://schemas.openxmlformats.org/officeDocument/2006/relationships" r:id="rId2"/>
</worksheet>
</file>

<file path=xl/worksheets/sheet17.xml><?xml version="1.0" encoding="utf-8"?>
<worksheet xmlns="http://schemas.openxmlformats.org/spreadsheetml/2006/main">
  <sheetPr filterMode="0">
    <outlinePr summaryBelow="1" summaryRight="1"/>
    <pageSetUpPr fitToPage="1"/>
  </sheetPr>
  <dimension ref="A1:F32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A1" activeCellId="0" sqref="A1"/>
    </sheetView>
  </sheetViews>
  <sheetFormatPr baseColWidth="8" defaultColWidth="8.6796875" defaultRowHeight="15" customHeight="0" zeroHeight="0" outlineLevelRow="0"/>
  <cols>
    <col width="34" customWidth="1" style="4" min="1" max="1"/>
    <col width="20" customWidth="1" style="4" min="2" max="3"/>
    <col width="13" customWidth="1" style="4" min="4" max="5"/>
    <col width="46" customWidth="1" style="4" min="6" max="6"/>
  </cols>
  <sheetData>
    <row r="1" ht="21.75" customFormat="1" customHeight="1" s="4">
      <c r="A1" s="4" t="inlineStr">
        <is>
          <t>DBS Mechanics — Kaizen Impact, Working Capital Velocity, VVC Exercise Math</t>
        </is>
      </c>
    </row>
    <row r="2" ht="15" customFormat="1" customHeight="1" s="4">
      <c r="A2" s="4" t="inlineStr">
        <is>
          <t>Practitioner-grade quantification of DBS at the operating level.</t>
        </is>
      </c>
    </row>
    <row r="3" ht="15" customFormat="1" customHeight="1" s="4"/>
    <row r="4" ht="15" customFormat="1" customHeight="1" s="4">
      <c r="A4" s="4" t="inlineStr">
        <is>
          <t>Kaizen event — 5-day standard</t>
        </is>
      </c>
      <c r="B4" s="4" t="inlineStr">
        <is>
          <t>Pre-event baseline</t>
        </is>
      </c>
      <c r="C4" s="4" t="inlineStr">
        <is>
          <t>Post-event</t>
        </is>
      </c>
      <c r="D4" s="4" t="inlineStr">
        <is>
          <t>Delta</t>
        </is>
      </c>
      <c r="E4" s="4" t="inlineStr">
        <is>
          <t>% Delta</t>
        </is>
      </c>
      <c r="F4" s="4" t="inlineStr">
        <is>
          <t>Notes</t>
        </is>
      </c>
    </row>
    <row r="5" ht="15" customFormat="1" customHeight="1" s="4">
      <c r="A5" s="4" t="inlineStr">
        <is>
          <t>Cycle time (min/unit)</t>
        </is>
      </c>
      <c r="B5" s="7" t="n">
        <v>42.5</v>
      </c>
      <c r="C5" s="7" t="n">
        <v>26.8</v>
      </c>
      <c r="D5" s="7" t="n">
        <v>-15.7</v>
      </c>
      <c r="E5" s="4" t="inlineStr">
        <is>
          <t>-36.9%</t>
        </is>
      </c>
      <c r="F5" s="4" t="inlineStr">
        <is>
          <t>Typical DBS kaizen on machining or assembly cell</t>
        </is>
      </c>
    </row>
    <row r="6" ht="15" customFormat="1" customHeight="1" s="4">
      <c r="A6" s="4" t="inlineStr">
        <is>
          <t>WIP inventory (units)</t>
        </is>
      </c>
      <c r="B6" s="7" t="n">
        <v>380</v>
      </c>
      <c r="C6" s="7" t="n">
        <v>145</v>
      </c>
      <c r="D6" s="7" t="n">
        <v>-235</v>
      </c>
      <c r="E6" s="4" t="inlineStr">
        <is>
          <t>-61.8%</t>
        </is>
      </c>
      <c r="F6" s="4" t="inlineStr">
        <is>
          <t>Pull system installed</t>
        </is>
      </c>
    </row>
    <row r="7" ht="15" customFormat="1" customHeight="1" s="4">
      <c r="A7" s="4" t="inlineStr">
        <is>
          <t>Defect rate (ppm)</t>
        </is>
      </c>
      <c r="B7" s="7" t="n">
        <v>12500</v>
      </c>
      <c r="C7" s="7" t="n">
        <v>4200</v>
      </c>
      <c r="D7" s="7" t="n">
        <v>-8300</v>
      </c>
      <c r="E7" s="4" t="inlineStr">
        <is>
          <t>-66.4%</t>
        </is>
      </c>
      <c r="F7" s="4" t="inlineStr">
        <is>
          <t>Root-cause + Standard Work applied</t>
        </is>
      </c>
    </row>
    <row r="8" ht="15" customFormat="1" customHeight="1" s="4">
      <c r="A8" s="4" t="inlineStr">
        <is>
          <t>Operator moves (steps/hr)</t>
        </is>
      </c>
      <c r="B8" s="7" t="n">
        <v>640</v>
      </c>
      <c r="C8" s="7" t="n">
        <v>285</v>
      </c>
      <c r="D8" s="7" t="n">
        <v>-355</v>
      </c>
      <c r="E8" s="4" t="inlineStr">
        <is>
          <t>-55.5%</t>
        </is>
      </c>
      <c r="F8" s="4" t="inlineStr">
        <is>
          <t>Spaghetti diagram / motion waste elimination</t>
        </is>
      </c>
    </row>
    <row r="9" ht="15" customFormat="1" customHeight="1" s="4">
      <c r="A9" s="4" t="inlineStr">
        <is>
          <t>Changeover time (min)</t>
        </is>
      </c>
      <c r="B9" s="7" t="n">
        <v>95</v>
      </c>
      <c r="C9" s="7" t="n">
        <v>22</v>
      </c>
      <c r="D9" s="7" t="n">
        <v>-73</v>
      </c>
      <c r="E9" s="4" t="inlineStr">
        <is>
          <t>-76.8%</t>
        </is>
      </c>
      <c r="F9" s="4" t="inlineStr">
        <is>
          <t>SMED applied</t>
        </is>
      </c>
    </row>
    <row r="10" ht="15" customFormat="1" customHeight="1" s="4">
      <c r="A10" s="4" t="inlineStr">
        <is>
          <t>First-pass yield (%)</t>
        </is>
      </c>
      <c r="B10" s="4" t="inlineStr">
        <is>
          <t>82%</t>
        </is>
      </c>
      <c r="C10" s="4" t="inlineStr">
        <is>
          <t>96%</t>
        </is>
      </c>
      <c r="D10" s="4" t="inlineStr">
        <is>
          <t>+14pp</t>
        </is>
      </c>
      <c r="E10" s="4" t="inlineStr">
        <is>
          <t>17.1%</t>
        </is>
      </c>
      <c r="F10" s="4" t="inlineStr">
        <is>
          <t>Standard Work + jidoka</t>
        </is>
      </c>
    </row>
    <row r="11" ht="15" customFormat="1" customHeight="1" s="4"/>
    <row r="12" ht="15" customFormat="1" customHeight="1" s="4">
      <c r="A12" s="4" t="inlineStr">
        <is>
          <t>Working capital velocity (annualized)</t>
        </is>
      </c>
      <c r="B12" s="4" t="inlineStr">
        <is>
          <t>Pre-DBS</t>
        </is>
      </c>
      <c r="C12" s="4" t="inlineStr">
        <is>
          <t>Post-DBS (year 2)</t>
        </is>
      </c>
      <c r="D12" s="4" t="inlineStr">
        <is>
          <t>Delta</t>
        </is>
      </c>
      <c r="E12" s="4" t="inlineStr">
        <is>
          <t>% Delta</t>
        </is>
      </c>
      <c r="F12" s="4" t="inlineStr">
        <is>
          <t>Notes</t>
        </is>
      </c>
    </row>
    <row r="13" ht="15" customFormat="1" customHeight="1" s="4">
      <c r="A13" s="4" t="inlineStr">
        <is>
          <t>Days sales outstanding</t>
        </is>
      </c>
      <c r="B13" s="7" t="n">
        <v>68</v>
      </c>
      <c r="C13" s="7" t="n">
        <v>52</v>
      </c>
      <c r="D13" s="7" t="n">
        <v>-16</v>
      </c>
      <c r="E13" s="4" t="inlineStr">
        <is>
          <t>-23.5%</t>
        </is>
      </c>
      <c r="F13" s="4" t="inlineStr">
        <is>
          <t>Cash-application kaizen + Voice of Customer terms</t>
        </is>
      </c>
    </row>
    <row r="14" ht="15" customFormat="1" customHeight="1" s="4">
      <c r="A14" s="4" t="inlineStr">
        <is>
          <t>Days inventory outstanding</t>
        </is>
      </c>
      <c r="B14" s="7" t="n">
        <v>92</v>
      </c>
      <c r="C14" s="7" t="n">
        <v>55</v>
      </c>
      <c r="D14" s="7" t="n">
        <v>-37</v>
      </c>
      <c r="E14" s="4" t="inlineStr">
        <is>
          <t>-40.2%</t>
        </is>
      </c>
      <c r="F14" s="4" t="inlineStr">
        <is>
          <t>Pull replenishment + kanban</t>
        </is>
      </c>
    </row>
    <row r="15" ht="15" customFormat="1" customHeight="1" s="4">
      <c r="A15" s="4" t="inlineStr">
        <is>
          <t>Days payable outstanding</t>
        </is>
      </c>
      <c r="B15" s="7" t="n">
        <v>42</v>
      </c>
      <c r="C15" s="7" t="n">
        <v>48</v>
      </c>
      <c r="D15" s="7" t="n">
        <v>6</v>
      </c>
      <c r="E15" s="4" t="inlineStr">
        <is>
          <t>14.3%</t>
        </is>
      </c>
      <c r="F15" s="4" t="inlineStr">
        <is>
          <t>Terms discipline + policy deployment</t>
        </is>
      </c>
    </row>
    <row r="16" ht="15" customFormat="1" customHeight="1" s="4">
      <c r="A16" s="4" t="inlineStr">
        <is>
          <t>Cash conversion cycle (days)</t>
        </is>
      </c>
      <c r="B16" s="7" t="n">
        <v>118</v>
      </c>
      <c r="C16" s="7" t="n">
        <v>59</v>
      </c>
      <c r="D16" s="7" t="n">
        <v>-59</v>
      </c>
      <c r="E16" s="4" t="inlineStr">
        <is>
          <t>-50.0%</t>
        </is>
      </c>
      <c r="F16" s="4" t="inlineStr">
        <is>
          <t>The DBS working-capital signature</t>
        </is>
      </c>
    </row>
    <row r="17" ht="15" customFormat="1" customHeight="1" s="4">
      <c r="A17" s="4" t="inlineStr">
        <is>
          <t>Working capital / revenue (%)</t>
        </is>
      </c>
      <c r="B17" s="4" t="inlineStr">
        <is>
          <t>22%</t>
        </is>
      </c>
      <c r="C17" s="4" t="inlineStr">
        <is>
          <t>11%</t>
        </is>
      </c>
      <c r="D17" s="4" t="inlineStr">
        <is>
          <t>-11pp</t>
        </is>
      </c>
      <c r="E17" s="4" t="inlineStr">
        <is>
          <t>-50.0%</t>
        </is>
      </c>
      <c r="F17" s="4" t="inlineStr">
        <is>
          <t>Typical Danaher-integration two-year target</t>
        </is>
      </c>
    </row>
    <row r="18" ht="15" customFormat="1" customHeight="1" s="4"/>
    <row r="19" ht="15" customFormat="1" customHeight="1" s="4">
      <c r="A19" s="4" t="inlineStr">
        <is>
          <t>VVC — sample product family</t>
        </is>
      </c>
      <c r="B19" s="4" t="inlineStr">
        <is>
          <t>Current state</t>
        </is>
      </c>
      <c r="C19" s="4" t="inlineStr">
        <is>
          <t>Future state</t>
        </is>
      </c>
      <c r="D19" s="4" t="inlineStr">
        <is>
          <t>Delta</t>
        </is>
      </c>
      <c r="E19" s="4" t="inlineStr">
        <is>
          <t>% Delta</t>
        </is>
      </c>
      <c r="F19" s="4" t="inlineStr">
        <is>
          <t>Notes</t>
        </is>
      </c>
    </row>
    <row r="20" ht="15" customFormat="1" customHeight="1" s="4">
      <c r="A20" s="4" t="inlineStr">
        <is>
          <t>Total lead time (days)</t>
        </is>
      </c>
      <c r="B20" s="7" t="n">
        <v>47</v>
      </c>
      <c r="C20" s="7" t="n">
        <v>18</v>
      </c>
      <c r="D20" s="7" t="n">
        <v>-29</v>
      </c>
      <c r="E20" s="4" t="inlineStr">
        <is>
          <t>-61.7%</t>
        </is>
      </c>
      <c r="F20" s="4" t="inlineStr">
        <is>
          <t>End-to-end order to cash</t>
        </is>
      </c>
    </row>
    <row r="21" ht="15" customFormat="1" customHeight="1" s="4">
      <c r="A21" s="4" t="inlineStr">
        <is>
          <t>Value-added time (%)</t>
        </is>
      </c>
      <c r="B21" s="4" t="inlineStr">
        <is>
          <t>3%</t>
        </is>
      </c>
      <c r="C21" s="4" t="inlineStr">
        <is>
          <t>12%</t>
        </is>
      </c>
      <c r="D21" s="4" t="inlineStr">
        <is>
          <t>+9pp</t>
        </is>
      </c>
      <c r="E21" s="4" t="inlineStr">
        <is>
          <t>300%</t>
        </is>
      </c>
      <c r="F21" s="4" t="inlineStr">
        <is>
          <t>Waste elimination shifts ratio</t>
        </is>
      </c>
    </row>
    <row r="22" ht="15" customFormat="1" customHeight="1" s="4">
      <c r="A22" s="4" t="inlineStr">
        <is>
          <t>Number of process steps</t>
        </is>
      </c>
      <c r="B22" s="7" t="n">
        <v>42</v>
      </c>
      <c r="C22" s="7" t="n">
        <v>24</v>
      </c>
      <c r="D22" s="7" t="n">
        <v>-18</v>
      </c>
      <c r="E22" s="4" t="inlineStr">
        <is>
          <t>-42.9%</t>
        </is>
      </c>
      <c r="F22" s="4" t="inlineStr">
        <is>
          <t>Consolidation of duplicate steps</t>
        </is>
      </c>
    </row>
    <row r="23" ht="15" customFormat="1" customHeight="1" s="4">
      <c r="A23" s="4" t="inlineStr">
        <is>
          <t>Number of handoffs</t>
        </is>
      </c>
      <c r="B23" s="7" t="n">
        <v>18</v>
      </c>
      <c r="C23" s="7" t="n">
        <v>8</v>
      </c>
      <c r="D23" s="7" t="n">
        <v>-10</v>
      </c>
      <c r="E23" s="4" t="inlineStr">
        <is>
          <t>-55.6%</t>
        </is>
      </c>
      <c r="F23" s="4" t="inlineStr">
        <is>
          <t>Sources of quality escapes eliminated</t>
        </is>
      </c>
    </row>
    <row r="24" ht="15" customFormat="1" customHeight="1" s="4">
      <c r="A24" s="4" t="inlineStr">
        <is>
          <t>Kaizen events required (12-mo)</t>
        </is>
      </c>
      <c r="B24" s="4" t="inlineStr">
        <is>
          <t>—</t>
        </is>
      </c>
      <c r="C24" s="7" t="n">
        <v>8</v>
      </c>
      <c r="D24" s="4" t="inlineStr">
        <is>
          <t>—</t>
        </is>
      </c>
      <c r="E24" s="4" t="inlineStr">
        <is>
          <t>—</t>
        </is>
      </c>
      <c r="F24" s="4" t="inlineStr">
        <is>
          <t>The VVC → kaizen backlog</t>
        </is>
      </c>
    </row>
    <row r="25" ht="15" customFormat="1" customHeight="1" s="4">
      <c r="A25" s="4" t="inlineStr">
        <is>
          <t>Estimated annual benefit ($M)</t>
        </is>
      </c>
      <c r="B25" s="4" t="inlineStr">
        <is>
          <t>—</t>
        </is>
      </c>
      <c r="C25" s="7" t="n">
        <v>3.8</v>
      </c>
      <c r="D25" s="4" t="inlineStr">
        <is>
          <t>—</t>
        </is>
      </c>
      <c r="E25" s="4" t="inlineStr">
        <is>
          <t>—</t>
        </is>
      </c>
      <c r="F25" s="4" t="inlineStr">
        <is>
          <t>Typical single-product-family benefit at ~$50M rev</t>
        </is>
      </c>
    </row>
    <row r="26" ht="15" customFormat="1" customHeight="1" s="4"/>
    <row r="27" ht="15" customFormat="1" customHeight="1" s="4">
      <c r="A27" s="4" t="inlineStr">
        <is>
          <t>Danaher-wide DBS impact benchmark</t>
        </is>
      </c>
      <c r="B27" s="4" t="inlineStr">
        <is>
          <t>5-yr avg</t>
        </is>
      </c>
      <c r="C27" s="4" t="inlineStr">
        <is>
          <t>Notes</t>
        </is>
      </c>
    </row>
    <row r="28" ht="15" customFormat="1" customHeight="1" s="4">
      <c r="A28" s="4" t="inlineStr">
        <is>
          <t>Operating margin expansion post-acquisition</t>
        </is>
      </c>
      <c r="B28" s="4" t="inlineStr">
        <is>
          <t>+300-500 bps</t>
        </is>
      </c>
      <c r="C28" s="4" t="inlineStr">
        <is>
          <t>Typical run-rate at 24 months post-close</t>
        </is>
      </c>
    </row>
    <row r="29" ht="15" customFormat="1" customHeight="1" s="4">
      <c r="A29" s="4" t="inlineStr">
        <is>
          <t>Working capital reduction post-acquisition</t>
        </is>
      </c>
      <c r="B29" s="4" t="inlineStr">
        <is>
          <t>-40 to -60%</t>
        </is>
      </c>
      <c r="C29" s="4" t="inlineStr">
        <is>
          <t>As % of revenue over 24 months</t>
        </is>
      </c>
    </row>
    <row r="30" ht="15" customFormat="1" customHeight="1" s="4">
      <c r="A30" s="4" t="inlineStr">
        <is>
          <t>SG&amp;A leverage improvement</t>
        </is>
      </c>
      <c r="B30" s="4" t="inlineStr">
        <is>
          <t>-150 to -300 bps</t>
        </is>
      </c>
      <c r="C30" s="4" t="inlineStr">
        <is>
          <t>As % of revenue over 24 months</t>
        </is>
      </c>
    </row>
    <row r="31" ht="15" customFormat="1" customHeight="1" s="4">
      <c r="A31" s="4" t="inlineStr">
        <is>
          <t>ROIC uplift post-acquisition</t>
        </is>
      </c>
      <c r="B31" s="4" t="inlineStr">
        <is>
          <t>+400-800 bps</t>
        </is>
      </c>
      <c r="C31" s="4" t="inlineStr">
        <is>
          <t>Compared to standalone pre-close</t>
        </is>
      </c>
    </row>
    <row r="32" ht="15" customFormat="1" customHeight="1" s="4">
      <c r="A32" s="4" t="inlineStr">
        <is>
          <t>Employee engagement (Kaizen participation %)</t>
        </is>
      </c>
      <c r="B32" s="4" t="inlineStr">
        <is>
          <t>80-90%</t>
        </is>
      </c>
      <c r="C32" s="4" t="inlineStr">
        <is>
          <t>Target within 18 months</t>
        </is>
      </c>
    </row>
  </sheetData>
  <mergeCells count="2">
    <mergeCell ref="A2:F2"/>
    <mergeCell ref="A1:F1"/>
  </mergeCells>
  <printOptions horizontalCentered="1" verticalCentered="0" headings="0" gridLines="0" gridLinesSet="1"/>
  <pageMargins left="0.5" right="0.5" top="0.5" bottom="0.5" header="0.3" footer="0.3"/>
  <pageSetup orientation="landscape" paperSize="1" scale="100" fitToHeight="0" fitToWidth="1" pageOrder="downThenOver" blackAndWhite="0" draft="0" horizontalDpi="300" verticalDpi="300" copies="1"/>
  <headerFooter differentOddEven="0" differentFirst="0">
    <oddHeader>&amp;L&amp;8 &amp;K3C3F45DBS_MECHANICS&amp;C&amp;9 &amp;K0d2747DBS_MECHANICS&amp;R&amp;8 &amp;KC89000BARATELLI INSTITUTE  *  MENTORING AT SCALE</oddHeader>
    <oddFooter>&amp;L&amp;8 &amp;K3C3F45baratelliinstitute.com&amp;C&amp;8 &amp;K3C3F45Page &amp;P of &amp;N&amp;R&amp;8 &amp;K3C3F45Danaher Compounder 2026</oddFooter>
    <evenHeader/>
    <evenFooter/>
    <firstHeader/>
    <firstFooter/>
  </headerFooter>
</worksheet>
</file>

<file path=xl/worksheets/sheet18.xml><?xml version="1.0" encoding="utf-8"?>
<worksheet xmlns="http://schemas.openxmlformats.org/spreadsheetml/2006/main">
  <sheetPr filterMode="0">
    <outlinePr summaryBelow="1" summaryRight="1"/>
    <pageSetUpPr fitToPage="1"/>
  </sheetPr>
  <dimension ref="A1:F18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A1" activeCellId="0" sqref="A1"/>
    </sheetView>
  </sheetViews>
  <sheetFormatPr baseColWidth="8" defaultColWidth="8.6796875" defaultRowHeight="15" customHeight="0" zeroHeight="0" outlineLevelRow="0"/>
  <cols>
    <col width="34" customWidth="1" style="4" min="1" max="1"/>
    <col width="20" customWidth="1" style="4" min="2" max="2"/>
    <col width="18" customWidth="1" style="4" min="3" max="3"/>
    <col width="14" customWidth="1" style="4" min="4" max="4"/>
    <col width="16" customWidth="1" style="4" min="5" max="5"/>
    <col width="62" customWidth="1" style="4" min="6" max="6"/>
  </cols>
  <sheetData>
    <row r="1" ht="21.75" customFormat="1" customHeight="1" s="4">
      <c r="A1" s="4" t="inlineStr">
        <is>
          <t>Three Segments — Biotechnology / Life Sciences / Diagnostics (FY2025)</t>
        </is>
      </c>
    </row>
    <row r="2" ht="15" customFormat="1" customHeight="1" s="4">
      <c r="A2" s="4" t="inlineStr">
        <is>
          <t>Danaher post-Veralto structure. Directional figures rounded.</t>
        </is>
      </c>
    </row>
    <row r="3" ht="15" customFormat="1" customHeight="1" s="4"/>
    <row r="4" ht="15" customFormat="1" customHeight="1" s="4">
      <c r="A4" s="4" t="inlineStr">
        <is>
          <t>Segment</t>
        </is>
      </c>
      <c r="B4" s="4" t="inlineStr">
        <is>
          <t>FY25 Revenue ($B)</t>
        </is>
      </c>
      <c r="C4" s="4" t="inlineStr">
        <is>
          <t>FY25 EBIT ($B)</t>
        </is>
      </c>
      <c r="D4" s="4" t="inlineStr">
        <is>
          <t>EBIT margin</t>
        </is>
      </c>
      <c r="E4" s="4" t="inlineStr">
        <is>
          <t>YoY Rev growth</t>
        </is>
      </c>
      <c r="F4" s="4" t="inlineStr">
        <is>
          <t>Key franchises</t>
        </is>
      </c>
    </row>
    <row r="5" ht="15" customFormat="1" customHeight="1" s="4">
      <c r="A5" s="4" t="inlineStr">
        <is>
          <t>Biotechnology</t>
        </is>
      </c>
      <c r="B5" s="7" t="n">
        <v>6.4</v>
      </c>
      <c r="C5" s="7" t="n">
        <v>1.5</v>
      </c>
      <c r="D5" s="4" t="inlineStr">
        <is>
          <t>23%</t>
        </is>
      </c>
      <c r="E5" s="4" t="inlineStr">
        <is>
          <t>+2%</t>
        </is>
      </c>
      <c r="F5" s="4" t="inlineStr">
        <is>
          <t>Cytiva (bioprocessing) + Aldevron (plasmid DNA, mRNA raw materials)</t>
        </is>
      </c>
    </row>
    <row r="6" ht="15" customFormat="1" customHeight="1" s="4">
      <c r="A6" s="4" t="inlineStr">
        <is>
          <t>Life Sciences</t>
        </is>
      </c>
      <c r="B6" s="7" t="n">
        <v>6.9</v>
      </c>
      <c r="C6" s="7" t="n">
        <v>1.6</v>
      </c>
      <c r="D6" s="4" t="inlineStr">
        <is>
          <t>23%</t>
        </is>
      </c>
      <c r="E6" s="4" t="inlineStr">
        <is>
          <t>+3%</t>
        </is>
      </c>
      <c r="F6" s="4" t="inlineStr">
        <is>
          <t>Beckman Coulter LS, Leica Micro, SCIEX, IDT, Phenomenex, Molecular Devices, Abcam</t>
        </is>
      </c>
    </row>
    <row r="7" ht="15" customFormat="1" customHeight="1" s="4">
      <c r="A7" s="4" t="inlineStr">
        <is>
          <t>Diagnostics</t>
        </is>
      </c>
      <c r="B7" s="7" t="n">
        <v>10.4</v>
      </c>
      <c r="C7" s="7" t="n">
        <v>2.9</v>
      </c>
      <c r="D7" s="4" t="inlineStr">
        <is>
          <t>28%</t>
        </is>
      </c>
      <c r="E7" s="4" t="inlineStr">
        <is>
          <t>+4%</t>
        </is>
      </c>
      <c r="F7" s="4" t="inlineStr">
        <is>
          <t>Cepheid, Beckman Coulter Dx, Leica Biosystems, Radiometer, Mammotome</t>
        </is>
      </c>
    </row>
    <row r="8" ht="15" customFormat="1" customHeight="1" s="4">
      <c r="A8" s="4" t="inlineStr">
        <is>
          <t>Total continuing operations</t>
        </is>
      </c>
      <c r="B8" s="7" t="n">
        <v>23.7</v>
      </c>
      <c r="C8" s="7" t="n">
        <v>6</v>
      </c>
      <c r="D8" s="4" t="inlineStr">
        <is>
          <t>25%</t>
        </is>
      </c>
      <c r="E8" s="4" t="inlineStr">
        <is>
          <t>+3%</t>
        </is>
      </c>
      <c r="F8" s="4" t="inlineStr">
        <is>
          <t>Consolidated post-Veralto FY25</t>
        </is>
      </c>
    </row>
    <row r="9" ht="15" customFormat="1" customHeight="1" s="4"/>
    <row r="10" ht="15" customFormat="1" customHeight="1" s="4">
      <c r="A10" s="4" t="inlineStr">
        <is>
          <t>Three-year CAGR</t>
        </is>
      </c>
    </row>
    <row r="11" ht="15" customFormat="1" customHeight="1" s="4">
      <c r="A11" s="4" t="inlineStr">
        <is>
          <t>Biotechnology 3-yr CAGR</t>
        </is>
      </c>
      <c r="B11" s="4" t="inlineStr">
        <is>
          <t>-3%</t>
        </is>
      </c>
      <c r="F11" s="4" t="inlineStr">
        <is>
          <t>Bioprocessing overbuild digestion 2022-2024; recovery late 2025</t>
        </is>
      </c>
    </row>
    <row r="12" ht="15" customFormat="1" customHeight="1" s="4">
      <c r="A12" s="4" t="inlineStr">
        <is>
          <t>Life Sciences 3-yr CAGR</t>
        </is>
      </c>
      <c r="B12" s="4" t="inlineStr">
        <is>
          <t>+4%</t>
        </is>
      </c>
      <c r="F12" s="4" t="inlineStr">
        <is>
          <t>Steady academic + biopharma R&amp;D demand</t>
        </is>
      </c>
    </row>
    <row r="13" ht="15" customFormat="1" customHeight="1" s="4">
      <c r="A13" s="4" t="inlineStr">
        <is>
          <t>Diagnostics 3-yr CAGR</t>
        </is>
      </c>
      <c r="B13" s="4" t="inlineStr">
        <is>
          <t>+6%</t>
        </is>
      </c>
      <c r="F13" s="4" t="inlineStr">
        <is>
          <t>Cepheid installed-base + core dx recovery</t>
        </is>
      </c>
    </row>
    <row r="14" ht="15" customFormat="1" customHeight="1" s="4"/>
    <row r="15" ht="15" customFormat="1" customHeight="1" s="4">
      <c r="A15" s="4" t="inlineStr">
        <is>
          <t>Segment priorities (FY26)</t>
        </is>
      </c>
    </row>
    <row r="16" ht="15" customFormat="1" customHeight="1" s="4">
      <c r="A16" s="4" t="inlineStr">
        <is>
          <t>Biotechnology</t>
        </is>
      </c>
      <c r="B16" s="4" t="inlineStr">
        <is>
          <t>Bioprocessing recovery + margin restoration</t>
        </is>
      </c>
      <c r="F16" s="4" t="inlineStr">
        <is>
          <t>Cytiva utilization ramp; DBS kaizen on consumables cost</t>
        </is>
      </c>
    </row>
    <row r="17" ht="15" customFormat="1" customHeight="1" s="4">
      <c r="A17" s="4" t="inlineStr">
        <is>
          <t>Life Sciences</t>
        </is>
      </c>
      <c r="B17" s="4" t="inlineStr">
        <is>
          <t>Instrument replacement + Abcam integration</t>
        </is>
      </c>
      <c r="F17" s="4" t="inlineStr">
        <is>
          <t>Abcam DBS install year 2; recombinant Ab mix shift</t>
        </is>
      </c>
    </row>
    <row r="18" ht="15" customFormat="1" customHeight="1" s="4">
      <c r="A18" s="4" t="inlineStr">
        <is>
          <t>Diagnostics</t>
        </is>
      </c>
      <c r="B18" s="4" t="inlineStr">
        <is>
          <t>Cepheid share-gain + Radiometer growth</t>
        </is>
      </c>
      <c r="F18" s="4" t="inlineStr">
        <is>
          <t>Cepheid Xpert menu expansion; installed-base pull-through</t>
        </is>
      </c>
    </row>
  </sheetData>
  <mergeCells count="2">
    <mergeCell ref="A2:F2"/>
    <mergeCell ref="A1:F1"/>
  </mergeCells>
  <printOptions horizontalCentered="1" verticalCentered="0" headings="0" gridLines="0" gridLinesSet="1"/>
  <pageMargins left="0.5" right="0.5" top="0.5" bottom="0.5" header="0.3" footer="0.3"/>
  <pageSetup orientation="landscape" paperSize="1" scale="100" fitToHeight="0" fitToWidth="1" pageOrder="downThenOver" blackAndWhite="0" draft="0" horizontalDpi="300" verticalDpi="300" copies="1"/>
  <headerFooter differentOddEven="0" differentFirst="0">
    <oddHeader>&amp;L&amp;8 &amp;K3C3F45THREE_SEGMENTS&amp;C&amp;9 &amp;K0d2747THREE_SEGMENTS&amp;R&amp;8 &amp;KC89000BARATELLI INSTITUTE  *  MENTORING AT SCALE</oddHeader>
    <oddFooter>&amp;L&amp;8 &amp;K3C3F45baratelliinstitute.com&amp;C&amp;8 &amp;K3C3F45Page &amp;P of &amp;N&amp;R&amp;8 &amp;K3C3F45Danaher Compounder 2026</oddFooter>
    <evenHeader/>
    <evenFooter/>
    <firstHeader/>
    <firstFooter/>
  </headerFooter>
</worksheet>
</file>

<file path=xl/worksheets/sheet19.xml><?xml version="1.0" encoding="utf-8"?>
<worksheet xmlns="http://schemas.openxmlformats.org/spreadsheetml/2006/main">
  <sheetPr filterMode="0">
    <outlinePr summaryBelow="1" summaryRight="1"/>
    <pageSetUpPr fitToPage="1"/>
  </sheetPr>
  <dimension ref="A1:G29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A1" activeCellId="0" sqref="A1"/>
    </sheetView>
  </sheetViews>
  <sheetFormatPr baseColWidth="8" defaultColWidth="8.6796875" defaultRowHeight="15" customHeight="0" zeroHeight="0" outlineLevelRow="0"/>
  <cols>
    <col width="34" customWidth="1" style="4" min="1" max="1"/>
    <col width="22" customWidth="1" style="4" min="2" max="4"/>
    <col width="20" customWidth="1" style="4" min="5" max="6"/>
    <col width="16" customWidth="1" style="4" min="7" max="7"/>
  </cols>
  <sheetData>
    <row r="1" ht="21.75" customFormat="1" customHeight="1" s="4">
      <c r="A1" s="4" t="inlineStr">
        <is>
          <t>Spinoff Impact — Fortive / Envista / Veralto at Spin vs Current</t>
        </is>
      </c>
    </row>
    <row r="2" ht="15" customFormat="1" customHeight="1" s="4">
      <c r="A2" s="4" t="inlineStr">
        <is>
          <t>The three-way DBS-portability experiment quantified.</t>
        </is>
      </c>
    </row>
    <row r="3" ht="15" customFormat="1" customHeight="1" s="4"/>
    <row r="4" ht="15" customFormat="1" customHeight="1" s="4">
      <c r="A4" s="4" t="inlineStr">
        <is>
          <t>Entity</t>
        </is>
      </c>
      <c r="B4" s="4" t="inlineStr">
        <is>
          <t>Spin year</t>
        </is>
      </c>
      <c r="C4" s="4" t="inlineStr">
        <is>
          <t>Mkt cap @ spin ($B)</t>
        </is>
      </c>
      <c r="D4" s="4" t="inlineStr">
        <is>
          <t>Revenue @ spin ($B)</t>
        </is>
      </c>
      <c r="E4" s="4" t="inlineStr">
        <is>
          <t>Mkt cap today ($B)</t>
        </is>
      </c>
      <c r="F4" s="4" t="inlineStr">
        <is>
          <t>Revenue today ($B)</t>
        </is>
      </c>
      <c r="G4" s="4" t="inlineStr">
        <is>
          <t>TSR since spin</t>
        </is>
      </c>
    </row>
    <row r="5" ht="15" customFormat="1" customHeight="1" s="4">
      <c r="A5" s="4" t="inlineStr">
        <is>
          <t>Fortive (NYSE:FTV)</t>
        </is>
      </c>
      <c r="B5" s="7" t="n">
        <v>2016</v>
      </c>
      <c r="C5" s="7" t="n">
        <v>18</v>
      </c>
      <c r="D5" s="7" t="n">
        <v>6.2</v>
      </c>
      <c r="E5" s="7" t="n">
        <v>30</v>
      </c>
      <c r="F5" s="7" t="n">
        <v>6.3</v>
      </c>
      <c r="G5" s="4" t="inlineStr">
        <is>
          <t>+90%</t>
        </is>
      </c>
    </row>
    <row r="6" ht="15" customFormat="1" customHeight="1" s="4">
      <c r="A6" s="4" t="inlineStr">
        <is>
          <t>Envista (NYSE:NVST)</t>
        </is>
      </c>
      <c r="B6" s="7" t="n">
        <v>2019</v>
      </c>
      <c r="C6" s="7" t="n">
        <v>4</v>
      </c>
      <c r="D6" s="7" t="n">
        <v>2.6</v>
      </c>
      <c r="E6" s="7" t="n">
        <v>4</v>
      </c>
      <c r="F6" s="7" t="n">
        <v>2.5</v>
      </c>
      <c r="G6" s="4" t="inlineStr">
        <is>
          <t>flat</t>
        </is>
      </c>
    </row>
    <row r="7" ht="15" customFormat="1" customHeight="1" s="4">
      <c r="A7" s="4" t="inlineStr">
        <is>
          <t>Veralto (NYSE:VLTO)</t>
        </is>
      </c>
      <c r="B7" s="7" t="n">
        <v>2023</v>
      </c>
      <c r="C7" s="7" t="n">
        <v>15</v>
      </c>
      <c r="D7" s="7" t="n">
        <v>5</v>
      </c>
      <c r="E7" s="7" t="n">
        <v>22</v>
      </c>
      <c r="F7" s="7" t="n">
        <v>5.2</v>
      </c>
      <c r="G7" s="4" t="inlineStr">
        <is>
          <t>+47%</t>
        </is>
      </c>
    </row>
    <row r="8" ht="15" customFormat="1" customHeight="1" s="4">
      <c r="A8" s="4" t="inlineStr">
        <is>
          <t>Aggregate</t>
        </is>
      </c>
      <c r="B8" s="4" t="inlineStr">
        <is>
          <t>—</t>
        </is>
      </c>
      <c r="C8" s="7" t="n">
        <v>37</v>
      </c>
      <c r="D8" s="7" t="n">
        <v>13.8</v>
      </c>
      <c r="E8" s="7" t="n">
        <v>56</v>
      </c>
      <c r="F8" s="7" t="n">
        <v>14</v>
      </c>
      <c r="G8" s="4" t="inlineStr">
        <is>
          <t>+51%</t>
        </is>
      </c>
    </row>
    <row r="9" ht="15" customFormat="1" customHeight="1" s="4"/>
    <row r="10" ht="15" customFormat="1" customHeight="1" s="4">
      <c r="A10" s="4" t="inlineStr">
        <is>
          <t>Value creation since spin ($B)</t>
        </is>
      </c>
    </row>
    <row r="11" ht="15" customFormat="1" customHeight="1" s="4">
      <c r="A11" s="4" t="inlineStr">
        <is>
          <t>Direct market cap growth</t>
        </is>
      </c>
      <c r="B11" s="4" t="inlineStr">
        <is>
          <t>Fortive: +12</t>
        </is>
      </c>
      <c r="C11" s="4" t="inlineStr">
        <is>
          <t>Envista: 0</t>
        </is>
      </c>
      <c r="D11" s="4" t="inlineStr">
        <is>
          <t>Veralto: +7</t>
        </is>
      </c>
      <c r="E11" s="4" t="inlineStr">
        <is>
          <t>Total: +19</t>
        </is>
      </c>
    </row>
    <row r="12" ht="15" customFormat="1" customHeight="1" s="4">
      <c r="A12" s="4" t="inlineStr">
        <is>
          <t>Cumulative dividends</t>
        </is>
      </c>
      <c r="B12" s="4" t="inlineStr">
        <is>
          <t>Fortive: ~1.8</t>
        </is>
      </c>
      <c r="C12" s="4" t="inlineStr">
        <is>
          <t>Envista: 0</t>
        </is>
      </c>
      <c r="D12" s="4" t="inlineStr">
        <is>
          <t>Veralto: ~0.4</t>
        </is>
      </c>
      <c r="E12" s="4" t="inlineStr">
        <is>
          <t>Total: ~2.2</t>
        </is>
      </c>
    </row>
    <row r="13" ht="15" customFormat="1" customHeight="1" s="4">
      <c r="A13" s="4" t="inlineStr">
        <is>
          <t>Total shareholder value created</t>
        </is>
      </c>
      <c r="B13" s="4" t="inlineStr">
        <is>
          <t>Fortive: ~14</t>
        </is>
      </c>
      <c r="C13" s="4" t="inlineStr">
        <is>
          <t>Envista: ~0</t>
        </is>
      </c>
      <c r="D13" s="4" t="inlineStr">
        <is>
          <t>Veralto: ~7</t>
        </is>
      </c>
      <c r="E13" s="4" t="inlineStr">
        <is>
          <t>Total: ~21</t>
        </is>
      </c>
    </row>
    <row r="14" ht="15" customFormat="1" customHeight="1" s="4"/>
    <row r="15" ht="15" customFormat="1" customHeight="1" s="4">
      <c r="A15" s="4" t="inlineStr">
        <is>
          <t>What each carried out</t>
        </is>
      </c>
    </row>
    <row r="16" ht="15" customFormat="1" customHeight="1" s="4">
      <c r="A16" s="4" t="inlineStr">
        <is>
          <t>Fortive</t>
        </is>
      </c>
      <c r="B16" s="4" t="inlineStr">
        <is>
          <t>Industrial tech + instrumentation</t>
        </is>
      </c>
      <c r="C16" s="4" t="inlineStr">
        <is>
          <t>Fluke, Tektronix, Gilbarco Veeder-Root, ASP, Accruent</t>
        </is>
      </c>
    </row>
    <row r="17" ht="15" customFormat="1" customHeight="1" s="4">
      <c r="A17" s="4" t="inlineStr">
        <is>
          <t>Envista</t>
        </is>
      </c>
      <c r="B17" s="4" t="inlineStr">
        <is>
          <t>Dental — specialty + implants + ortho</t>
        </is>
      </c>
      <c r="C17" s="4" t="inlineStr">
        <is>
          <t>Nobel Biocare, Ormco, KaVo Kerr, DEXIS</t>
        </is>
      </c>
    </row>
    <row r="18" ht="15" customFormat="1" customHeight="1" s="4">
      <c r="A18" s="4" t="inlineStr">
        <is>
          <t>Veralto</t>
        </is>
      </c>
      <c r="B18" s="4" t="inlineStr">
        <is>
          <t>Water quality + product ID</t>
        </is>
      </c>
      <c r="C18" s="4" t="inlineStr">
        <is>
          <t>Hach, Trojan, ChemTreat, Videojet, X-Rite, Pantone, Esko</t>
        </is>
      </c>
    </row>
    <row r="19" ht="15" customFormat="1" customHeight="1" s="4"/>
    <row r="20" ht="15" customFormat="1" customHeight="1" s="4">
      <c r="A20" s="4" t="inlineStr">
        <is>
          <t>DBS branding by entity</t>
        </is>
      </c>
    </row>
    <row r="21" ht="15" customFormat="1" customHeight="1" s="4">
      <c r="A21" s="4" t="inlineStr">
        <is>
          <t>Danaher</t>
        </is>
      </c>
      <c r="B21" s="4" t="inlineStr">
        <is>
          <t>Danaher Business System (DBS)</t>
        </is>
      </c>
      <c r="C21" s="4" t="inlineStr">
        <is>
          <t>Original</t>
        </is>
      </c>
    </row>
    <row r="22" ht="15" customFormat="1" customHeight="1" s="4">
      <c r="A22" s="4" t="inlineStr">
        <is>
          <t>Fortive</t>
        </is>
      </c>
      <c r="B22" s="4" t="inlineStr">
        <is>
          <t>Fortive Business System (FBS)</t>
        </is>
      </c>
      <c r="C22" s="4" t="inlineStr">
        <is>
          <t>Direct DBS lineage</t>
        </is>
      </c>
    </row>
    <row r="23" ht="15" customFormat="1" customHeight="1" s="4">
      <c r="A23" s="4" t="inlineStr">
        <is>
          <t>Envista</t>
        </is>
      </c>
      <c r="B23" s="4" t="inlineStr">
        <is>
          <t>Envista Business System (EBS)</t>
        </is>
      </c>
      <c r="C23" s="4" t="inlineStr">
        <is>
          <t>Direct DBS lineage</t>
        </is>
      </c>
    </row>
    <row r="24" ht="15" customFormat="1" customHeight="1" s="4">
      <c r="A24" s="4" t="inlineStr">
        <is>
          <t>Veralto</t>
        </is>
      </c>
      <c r="B24" s="4" t="inlineStr">
        <is>
          <t>Veralto Enterprise System (VES)</t>
        </is>
      </c>
      <c r="C24" s="4" t="inlineStr">
        <is>
          <t>Direct DBS lineage</t>
        </is>
      </c>
    </row>
    <row r="25" ht="15" customFormat="1" customHeight="1" s="4"/>
    <row r="26" ht="15" customFormat="1" customHeight="1" s="4">
      <c r="A26" s="4" t="inlineStr">
        <is>
          <t>Bolt-ons since spin</t>
        </is>
      </c>
    </row>
    <row r="27" ht="15" customFormat="1" customHeight="1" s="4">
      <c r="A27" s="4" t="inlineStr">
        <is>
          <t>Fortive (2016-2026)</t>
        </is>
      </c>
      <c r="B27" s="4" t="inlineStr">
        <is>
          <t>30+ deals</t>
        </is>
      </c>
      <c r="C27" s="4" t="inlineStr">
        <is>
          <t>~$8B deployed</t>
        </is>
      </c>
    </row>
    <row r="28" ht="15" customFormat="1" customHeight="1" s="4">
      <c r="A28" s="4" t="inlineStr">
        <is>
          <t>Envista (2019-2026)</t>
        </is>
      </c>
      <c r="B28" s="4" t="inlineStr">
        <is>
          <t>6-8 deals</t>
        </is>
      </c>
      <c r="C28" s="4" t="inlineStr">
        <is>
          <t>~$0.5B deployed</t>
        </is>
      </c>
    </row>
    <row r="29" ht="15" customFormat="1" customHeight="1" s="4">
      <c r="A29" s="4" t="inlineStr">
        <is>
          <t>Veralto (2023-2026)</t>
        </is>
      </c>
      <c r="B29" s="4" t="inlineStr">
        <is>
          <t>5-6 deals</t>
        </is>
      </c>
      <c r="C29" s="4" t="inlineStr">
        <is>
          <t>~$1.5B deployed</t>
        </is>
      </c>
    </row>
  </sheetData>
  <mergeCells count="2">
    <mergeCell ref="A2:G2"/>
    <mergeCell ref="A1:G1"/>
  </mergeCells>
  <printOptions horizontalCentered="1" verticalCentered="0" headings="0" gridLines="0" gridLinesSet="1"/>
  <pageMargins left="0.5" right="0.5" top="0.5" bottom="0.5" header="0.3" footer="0.3"/>
  <pageSetup orientation="landscape" paperSize="1" scale="100" fitToHeight="0" fitToWidth="1" pageOrder="downThenOver" blackAndWhite="0" draft="0" horizontalDpi="300" verticalDpi="300" copies="1"/>
  <headerFooter differentOddEven="0" differentFirst="0">
    <oddHeader>&amp;L&amp;8 &amp;K3C3F45SPINOFF_IMPACT&amp;C&amp;9 &amp;K0d2747SPINOFF_IMPACT&amp;R&amp;8 &amp;KC89000BARATELLI INSTITUTE  *  MENTORING AT SCALE</oddHeader>
    <oddFooter>&amp;L&amp;8 &amp;K3C3F45baratelliinstitute.com&amp;C&amp;8 &amp;K3C3F45Page &amp;P of &amp;N&amp;R&amp;8 &amp;K3C3F45Danaher Compounder 2026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1"/>
  </sheetPr>
  <dimension ref="A1:D32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A1" activeCellId="0" sqref="A1"/>
    </sheetView>
  </sheetViews>
  <sheetFormatPr baseColWidth="8" defaultColWidth="8.6796875" defaultRowHeight="15" customHeight="0" zeroHeight="0" outlineLevelRow="0"/>
  <cols>
    <col width="34" customWidth="1" style="4" min="1" max="1"/>
    <col width="22" customWidth="1" style="4" min="2" max="2"/>
    <col width="66" customWidth="1" style="4" min="3" max="3"/>
    <col width="13" customWidth="1" style="4" min="4" max="4"/>
  </cols>
  <sheetData>
    <row r="1" ht="21.75" customFormat="1" customHeight="1" s="4">
      <c r="A1" s="4" t="inlineStr">
        <is>
          <t>The Baratelli Institute — Danaher Financial Model</t>
        </is>
      </c>
    </row>
    <row r="2" ht="15" customFormat="1" customHeight="1" s="4">
      <c r="A2" s="4" t="inlineStr">
        <is>
          <t>29 tabs — 21 case-anchored tabs + new 3-statement model (Rosenbaum standard, July 2026)</t>
        </is>
      </c>
    </row>
    <row r="3" ht="15" customFormat="1" customHeight="1" s="4"/>
    <row r="4" ht="15" customFormat="1" customHeight="1" s="4">
      <c r="A4" s="4" t="inlineStr">
        <is>
          <t>#</t>
        </is>
      </c>
      <c r="B4" s="4" t="inlineStr">
        <is>
          <t>Tab</t>
        </is>
      </c>
      <c r="C4" s="4" t="inlineStr">
        <is>
          <t>Description</t>
        </is>
      </c>
      <c r="D4" s="4" t="inlineStr">
        <is>
          <t>Status</t>
        </is>
      </c>
    </row>
    <row r="5" ht="15" customFormat="1" customHeight="1" s="4">
      <c r="A5" s="4" t="inlineStr">
        <is>
          <t>1</t>
        </is>
      </c>
      <c r="B5" s="4" t="inlineStr">
        <is>
          <t>INDEX</t>
        </is>
      </c>
      <c r="C5" s="4" t="inlineStr">
        <is>
          <t>Original index of the model (preserved)</t>
        </is>
      </c>
      <c r="D5" s="4" t="inlineStr">
        <is>
          <t>Original</t>
        </is>
      </c>
    </row>
    <row r="6" ht="15" customFormat="1" customHeight="1" s="4">
      <c r="A6" s="4" t="inlineStr">
        <is>
          <t>2</t>
        </is>
      </c>
      <c r="B6" s="4" t="inlineStr">
        <is>
          <t>ASSUMPTIONS</t>
        </is>
      </c>
      <c r="C6" s="4" t="inlineStr">
        <is>
          <t>Global assumptions</t>
        </is>
      </c>
      <c r="D6" s="4" t="inlineStr">
        <is>
          <t>Original</t>
        </is>
      </c>
    </row>
    <row r="7" ht="15" customFormat="1" customHeight="1" s="4">
      <c r="A7" s="4" t="inlineStr">
        <is>
          <t>3</t>
        </is>
      </c>
      <c r="B7" s="4" t="inlineStr">
        <is>
          <t>DHR_STANDALONE</t>
        </is>
      </c>
      <c r="C7" s="4" t="inlineStr">
        <is>
          <t>Standalone Danaher FY22-FY25 financials</t>
        </is>
      </c>
      <c r="D7" s="4" t="inlineStr">
        <is>
          <t>Original</t>
        </is>
      </c>
    </row>
    <row r="8" ht="15" customFormat="1" customHeight="1" s="4">
      <c r="A8" s="4" t="inlineStr">
        <is>
          <t>4</t>
        </is>
      </c>
      <c r="B8" s="4" t="inlineStr">
        <is>
          <t>SEGMENT_BUILD</t>
        </is>
      </c>
      <c r="C8" s="4" t="inlineStr">
        <is>
          <t>Three-segment build (Life Sciences / Diagnostics / Biotech)</t>
        </is>
      </c>
      <c r="D8" s="4" t="inlineStr">
        <is>
          <t>Original</t>
        </is>
      </c>
    </row>
    <row r="9" ht="15" customFormat="1" customHeight="1" s="4">
      <c r="A9" s="4" t="inlineStr">
        <is>
          <t>5</t>
        </is>
      </c>
      <c r="B9" s="4" t="inlineStr">
        <is>
          <t>ACQ_RECORD</t>
        </is>
      </c>
      <c r="C9" s="4" t="inlineStr">
        <is>
          <t>Acquisitions record summary</t>
        </is>
      </c>
      <c r="D9" s="4" t="inlineStr">
        <is>
          <t>Original</t>
        </is>
      </c>
    </row>
    <row r="10" ht="15" customFormat="1" customHeight="1" s="4">
      <c r="A10" s="4" t="inlineStr">
        <is>
          <t>6</t>
        </is>
      </c>
      <c r="B10" s="4" t="inlineStr">
        <is>
          <t>DBS_METRICS</t>
        </is>
      </c>
      <c r="C10" s="4" t="inlineStr">
        <is>
          <t>DBS operating metrics</t>
        </is>
      </c>
      <c r="D10" s="4" t="inlineStr">
        <is>
          <t>Original</t>
        </is>
      </c>
    </row>
    <row r="11" ht="15" customFormat="1" customHeight="1" s="4">
      <c r="A11" s="4" t="inlineStr">
        <is>
          <t>7</t>
        </is>
      </c>
      <c r="B11" s="4" t="inlineStr">
        <is>
          <t>SPINOFF_DATA</t>
        </is>
      </c>
      <c r="C11" s="4" t="inlineStr">
        <is>
          <t>Fortive / Envista / Veralto original spinoff data</t>
        </is>
      </c>
      <c r="D11" s="4" t="inlineStr">
        <is>
          <t>Original</t>
        </is>
      </c>
    </row>
    <row r="12" ht="15" customFormat="1" customHeight="1" s="4">
      <c r="A12" s="4" t="inlineStr">
        <is>
          <t>8</t>
        </is>
      </c>
      <c r="B12" s="4" t="inlineStr">
        <is>
          <t>SOTP_4WAY</t>
        </is>
      </c>
      <c r="C12" s="4" t="inlineStr">
        <is>
          <t>Four-entity sum-of-the-parts</t>
        </is>
      </c>
      <c r="D12" s="4" t="inlineStr">
        <is>
          <t>Original</t>
        </is>
      </c>
    </row>
    <row r="13" ht="15" customFormat="1" customHeight="1" s="4">
      <c r="A13" s="4" t="inlineStr">
        <is>
          <t>9</t>
        </is>
      </c>
      <c r="B13" s="4" t="inlineStr">
        <is>
          <t>PEER_COMPS</t>
        </is>
      </c>
      <c r="C13" s="4" t="inlineStr">
        <is>
          <t>Peer comparables (TMO, A, WAT, MTD, etc.)</t>
        </is>
      </c>
      <c r="D13" s="4" t="inlineStr">
        <is>
          <t>Original</t>
        </is>
      </c>
    </row>
    <row r="14" ht="15" customFormat="1" customHeight="1" s="4">
      <c r="A14" s="4" t="inlineStr">
        <is>
          <t>10</t>
        </is>
      </c>
      <c r="B14" s="4" t="inlineStr">
        <is>
          <t>DCF_VALUATION</t>
        </is>
      </c>
      <c r="C14" s="4" t="inlineStr">
        <is>
          <t>Discounted cash flow valuation</t>
        </is>
      </c>
      <c r="D14" s="4" t="inlineStr">
        <is>
          <t>Original</t>
        </is>
      </c>
    </row>
    <row r="15" ht="15" customFormat="1" customHeight="1" s="4">
      <c r="A15" s="4" t="inlineStr">
        <is>
          <t>11</t>
        </is>
      </c>
      <c r="B15" s="4" t="inlineStr">
        <is>
          <t>MULTIPLE_SENS</t>
        </is>
      </c>
      <c r="C15" s="4" t="inlineStr">
        <is>
          <t>Multiple sensitivity analysis</t>
        </is>
      </c>
      <c r="D15" s="4" t="inlineStr">
        <is>
          <t>Original</t>
        </is>
      </c>
    </row>
    <row r="16" ht="15" customFormat="1" customHeight="1" s="4">
      <c r="A16" s="4" t="inlineStr">
        <is>
          <t>12</t>
        </is>
      </c>
      <c r="B16" s="4" t="inlineStr">
        <is>
          <t>CYTIVA_PLATFORM</t>
        </is>
      </c>
      <c r="C16" s="4" t="inlineStr">
        <is>
          <t>Cytiva + Aldevron biotech platform build</t>
        </is>
      </c>
      <c r="D16" s="4" t="inlineStr">
        <is>
          <t>Original</t>
        </is>
      </c>
    </row>
    <row r="17" ht="15" customFormat="1" customHeight="1" s="4">
      <c r="A17" s="4" t="inlineStr">
        <is>
          <t>13</t>
        </is>
      </c>
      <c r="B17" s="4" t="inlineStr">
        <is>
          <t>DBS_PREMIUM</t>
        </is>
      </c>
      <c r="C17" s="4" t="inlineStr">
        <is>
          <t>DBS premium vs non-DBS peers</t>
        </is>
      </c>
      <c r="D17" s="4" t="inlineStr">
        <is>
          <t>Original</t>
        </is>
      </c>
    </row>
    <row r="18" ht="15" customFormat="1" customHeight="1" s="4">
      <c r="A18" s="4" t="inlineStr">
        <is>
          <t>14</t>
        </is>
      </c>
      <c r="B18" s="4" t="inlineStr">
        <is>
          <t>RISK_SCENARIOS</t>
        </is>
      </c>
      <c r="C18" s="4" t="inlineStr">
        <is>
          <t>Risk scenarios / downside cases</t>
        </is>
      </c>
      <c r="D18" s="4" t="inlineStr">
        <is>
          <t>Original</t>
        </is>
      </c>
    </row>
    <row r="19" ht="15" customFormat="1" customHeight="1" s="4">
      <c r="A19" s="4" t="inlineStr">
        <is>
          <t>15</t>
        </is>
      </c>
      <c r="B19" s="4" t="inlineStr">
        <is>
          <t>DBS_MECHANICS</t>
        </is>
      </c>
      <c r="C19" s="4" t="inlineStr">
        <is>
          <t>NEW — DBS mechanics: kaizen impact, working capital, VVC math</t>
        </is>
      </c>
      <c r="D19" s="4" t="inlineStr">
        <is>
          <t>New</t>
        </is>
      </c>
    </row>
    <row r="20" ht="15" customFormat="1" customHeight="1" s="4">
      <c r="A20" s="4" t="inlineStr">
        <is>
          <t>16</t>
        </is>
      </c>
      <c r="B20" s="4" t="inlineStr">
        <is>
          <t>THREE_SEGMENTS</t>
        </is>
      </c>
      <c r="C20" s="4" t="inlineStr">
        <is>
          <t>NEW — Biotech / Life Sci / Diagnostics FY25 P&amp;L</t>
        </is>
      </c>
      <c r="D20" s="4" t="inlineStr">
        <is>
          <t>New</t>
        </is>
      </c>
    </row>
    <row r="21" ht="15" customFormat="1" customHeight="1" s="4">
      <c r="A21" s="4" t="inlineStr">
        <is>
          <t>17</t>
        </is>
      </c>
      <c r="B21" s="4" t="inlineStr">
        <is>
          <t>SPINOFF_IMPACT</t>
        </is>
      </c>
      <c r="C21" s="4" t="inlineStr">
        <is>
          <t>NEW — Fortive / Envista / Veralto at spin vs today</t>
        </is>
      </c>
      <c r="D21" s="4" t="inlineStr">
        <is>
          <t>New</t>
        </is>
      </c>
    </row>
    <row r="22" ht="15" customFormat="1" customHeight="1" s="4">
      <c r="A22" s="4" t="inlineStr">
        <is>
          <t>18</t>
        </is>
      </c>
      <c r="B22" s="4" t="inlineStr">
        <is>
          <t>RALES_OWNERSHIP</t>
        </is>
      </c>
      <c r="C22" s="4" t="inlineStr">
        <is>
          <t>NEW — Rales share divestitures 2015-2026</t>
        </is>
      </c>
      <c r="D22" s="4" t="inlineStr">
        <is>
          <t>New</t>
        </is>
      </c>
    </row>
    <row r="23" ht="15" customFormat="1" customHeight="1" s="4">
      <c r="A23" s="4" t="inlineStr">
        <is>
          <t>19</t>
        </is>
      </c>
      <c r="B23" s="4" t="inlineStr">
        <is>
          <t>CULP_COMPARISON</t>
        </is>
      </c>
      <c r="C23" s="4" t="inlineStr">
        <is>
          <t>NEW — Culp Danaher (2001-14) vs Culp GE (2018-24)</t>
        </is>
      </c>
      <c r="D23" s="4" t="inlineStr">
        <is>
          <t>New</t>
        </is>
      </c>
    </row>
    <row r="24" ht="15" customFormat="1" customHeight="1" s="4">
      <c r="A24" s="4" t="inlineStr">
        <is>
          <t>20</t>
        </is>
      </c>
      <c r="B24" s="4" t="inlineStr">
        <is>
          <t>COMPOUNDER_TAX</t>
        </is>
      </c>
      <c r="C24" s="4" t="inlineStr">
        <is>
          <t>NEW — Compounder taxonomy: Berkshire / Constellation / LVMH / Danaher</t>
        </is>
      </c>
      <c r="D24" s="4" t="inlineStr">
        <is>
          <t>New</t>
        </is>
      </c>
    </row>
    <row r="25" ht="15" customHeight="1" s="5">
      <c r="A25" s="4" t="inlineStr">
        <is>
          <t>22</t>
        </is>
      </c>
      <c r="B25" s="4" t="inlineStr">
        <is>
          <t>3STMT_ASSUMPTIONS</t>
        </is>
      </c>
      <c r="C25" s="4" t="inlineStr">
        <is>
          <t>NEW — Three-statement driver assumptions (revenue growth, margins, WC days, tax, debt structure)</t>
        </is>
      </c>
      <c r="D25" s="4" t="inlineStr">
        <is>
          <t>New</t>
        </is>
      </c>
    </row>
    <row r="26" ht="15" customHeight="1" s="5">
      <c r="A26" s="4" t="inlineStr">
        <is>
          <t>23</t>
        </is>
      </c>
      <c r="B26" s="4" t="inlineStr">
        <is>
          <t>3STMT_IS</t>
        </is>
      </c>
      <c r="C26" s="4" t="inlineStr">
        <is>
          <t>NEW — Income statement: FY22-FY30E, revenue → EBITDA → EPS</t>
        </is>
      </c>
      <c r="D26" s="4" t="inlineStr">
        <is>
          <t>New</t>
        </is>
      </c>
    </row>
    <row r="27" ht="15" customHeight="1" s="5">
      <c r="A27" s="4" t="inlineStr">
        <is>
          <t>24</t>
        </is>
      </c>
      <c r="B27" s="4" t="inlineStr">
        <is>
          <t>3STMT_BS</t>
        </is>
      </c>
      <c r="C27" s="4" t="inlineStr">
        <is>
          <t>NEW — Balance sheet: assets, liabilities, equity with balance-check row</t>
        </is>
      </c>
      <c r="D27" s="4" t="inlineStr">
        <is>
          <t>New</t>
        </is>
      </c>
    </row>
    <row r="28" ht="15" customHeight="1" s="5">
      <c r="A28" s="4" t="inlineStr">
        <is>
          <t>25</t>
        </is>
      </c>
      <c r="B28" s="4" t="inlineStr">
        <is>
          <t>3STMT_CF</t>
        </is>
      </c>
      <c r="C28" s="4" t="inlineStr">
        <is>
          <t>NEW — Cash flow statement: operating, investing, financing + reconciliation</t>
        </is>
      </c>
      <c r="D28" s="4" t="inlineStr">
        <is>
          <t>New</t>
        </is>
      </c>
    </row>
    <row r="29" ht="15" customHeight="1" s="5">
      <c r="A29" s="4" t="inlineStr">
        <is>
          <t>26</t>
        </is>
      </c>
      <c r="B29" s="4" t="inlineStr">
        <is>
          <t>3STMT_WC</t>
        </is>
      </c>
      <c r="C29" s="4" t="inlineStr">
        <is>
          <t>NEW — Working capital schedule: DSO/DIO/DPO, CCC, ΔNWC</t>
        </is>
      </c>
      <c r="D29" s="4" t="inlineStr">
        <is>
          <t>New</t>
        </is>
      </c>
    </row>
    <row r="30" ht="15" customHeight="1" s="5">
      <c r="A30" s="4" t="inlineStr">
        <is>
          <t>27</t>
        </is>
      </c>
      <c r="B30" s="4" t="inlineStr">
        <is>
          <t>3STMT_DEBT</t>
        </is>
      </c>
      <c r="C30" s="4" t="inlineStr">
        <is>
          <t>NEW — Debt schedule: Revolver/TLA/TLB/Notes + cash sweep waterfall</t>
        </is>
      </c>
      <c r="D30" s="4" t="inlineStr">
        <is>
          <t>New</t>
        </is>
      </c>
    </row>
    <row r="31" ht="15" customHeight="1" s="5">
      <c r="A31" s="4" t="inlineStr">
        <is>
          <t>28</t>
        </is>
      </c>
      <c r="B31" s="4" t="inlineStr">
        <is>
          <t>3STMT_RECON</t>
        </is>
      </c>
      <c r="C31" s="4" t="inlineStr">
        <is>
          <t>NEW — Reconciliations: BS check, cash tie, debt tie, RE roll-forward, FCF, EBITDA bridge</t>
        </is>
      </c>
      <c r="D31" s="4" t="inlineStr">
        <is>
          <t>New</t>
        </is>
      </c>
    </row>
    <row r="32" ht="15" customHeight="1" s="5">
      <c r="A32" s="4" t="inlineStr">
        <is>
          <t>29</t>
        </is>
      </c>
      <c r="B32" s="4" t="inlineStr">
        <is>
          <t>3STMT_COVENANTS</t>
        </is>
      </c>
      <c r="C32" s="4" t="inlineStr">
        <is>
          <t>NEW — Debt covenant tests: leverage &lt;3.5x, coverage &gt;4.5x, CFO/Debt &gt;20%</t>
        </is>
      </c>
      <c r="D32" s="4" t="inlineStr">
        <is>
          <t>New</t>
        </is>
      </c>
    </row>
  </sheetData>
  <mergeCells count="2">
    <mergeCell ref="A1:D1"/>
    <mergeCell ref="A2:D2"/>
  </mergeCells>
  <printOptions horizontalCentered="1" verticalCentered="0" headings="0" gridLines="0" gridLinesSet="1"/>
  <pageMargins left="0.5" right="0.5" top="0.5" bottom="0.5" header="0.3" footer="0.3"/>
  <pageSetup orientation="landscape" paperSize="1" scale="100" fitToHeight="0" fitToWidth="1" pageOrder="downThenOver" blackAndWhite="0" draft="0" horizontalDpi="300" verticalDpi="300" copies="1"/>
  <headerFooter differentOddEven="0" differentFirst="0">
    <oddHeader>&amp;L&amp;8 &amp;K3C3F45TOC&amp;C&amp;9 &amp;K0d2747TOC&amp;R&amp;8 &amp;KC89000BARATELLI INSTITUTE  *  MENTORING AT SCALE</oddHeader>
    <oddFooter>&amp;L&amp;8 &amp;K3C3F45baratelliinstitute.com&amp;C&amp;8 &amp;K3C3F45Page &amp;P of &amp;N&amp;R&amp;8 &amp;K3C3F45Danaher Compounder 2026</oddFooter>
    <evenHeader/>
    <evenFooter/>
    <firstHeader/>
    <firstFooter/>
  </headerFooter>
</worksheet>
</file>

<file path=xl/worksheets/sheet20.xml><?xml version="1.0" encoding="utf-8"?>
<worksheet xmlns="http://schemas.openxmlformats.org/spreadsheetml/2006/main">
  <sheetPr filterMode="0">
    <outlinePr summaryBelow="1" summaryRight="1"/>
    <pageSetUpPr fitToPage="1"/>
  </sheetPr>
  <dimension ref="A1:F31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A1" activeCellId="0" sqref="A1"/>
    </sheetView>
  </sheetViews>
  <sheetFormatPr baseColWidth="8" defaultColWidth="8.6796875" defaultRowHeight="15" customHeight="0" zeroHeight="0" outlineLevelRow="0"/>
  <cols>
    <col width="34" customWidth="1" style="4" min="1" max="1"/>
    <col width="20" customWidth="1" style="4" min="2" max="2"/>
    <col width="22" customWidth="1" style="4" min="3" max="3"/>
    <col width="16" customWidth="1" style="4" min="4" max="5"/>
    <col width="62" customWidth="1" style="4" min="6" max="6"/>
  </cols>
  <sheetData>
    <row r="1" ht="21.75" customFormat="1" customHeight="1" s="4">
      <c r="A1" s="4" t="inlineStr">
        <is>
          <t>Rales Ownership — Share Divestitures 2015-2026</t>
        </is>
      </c>
    </row>
    <row r="2" ht="15" customFormat="1" customHeight="1" s="4">
      <c r="A2" s="4" t="inlineStr">
        <is>
          <t>Steven Rales and Mitchell Rales have used 10b5-1 plans to fund estate architecture. Directional figures — not tax advice.</t>
        </is>
      </c>
    </row>
    <row r="3" ht="15" customFormat="1" customHeight="1" s="4"/>
    <row r="4" ht="15" customFormat="1" customHeight="1" s="4">
      <c r="A4" s="4" t="inlineStr">
        <is>
          <t>Year</t>
        </is>
      </c>
      <c r="B4" s="4" t="inlineStr">
        <is>
          <t>Steve Rales est. sales ($M)</t>
        </is>
      </c>
      <c r="C4" s="4" t="inlineStr">
        <is>
          <t>Mitch Rales est. sales ($M)</t>
        </is>
      </c>
      <c r="D4" s="4" t="inlineStr">
        <is>
          <t>Combined ($M)</t>
        </is>
      </c>
      <c r="E4" s="4" t="inlineStr">
        <is>
          <t>Avg DHR price</t>
        </is>
      </c>
      <c r="F4" s="4" t="inlineStr">
        <is>
          <t>Notes / likely deployment</t>
        </is>
      </c>
    </row>
    <row r="5" ht="15" customFormat="1" customHeight="1" s="4">
      <c r="A5" s="7" t="n">
        <v>2015</v>
      </c>
      <c r="B5" s="7" t="n">
        <v>380</v>
      </c>
      <c r="C5" s="7" t="n">
        <v>250</v>
      </c>
      <c r="D5" s="7" t="n">
        <v>630</v>
      </c>
      <c r="E5" s="7" t="n">
        <v>90</v>
      </c>
      <c r="F5" s="4" t="inlineStr">
        <is>
          <t>GRAT funding cycle 1; Fortive-spin preparation</t>
        </is>
      </c>
    </row>
    <row r="6" ht="15" customFormat="1" customHeight="1" s="4">
      <c r="A6" s="7" t="n">
        <v>2016</v>
      </c>
      <c r="B6" s="7" t="n">
        <v>420</v>
      </c>
      <c r="C6" s="7" t="n">
        <v>220</v>
      </c>
      <c r="D6" s="7" t="n">
        <v>640</v>
      </c>
      <c r="E6" s="7" t="n">
        <v>78</v>
      </c>
      <c r="F6" s="4" t="inlineStr">
        <is>
          <t>Fortive spin completed</t>
        </is>
      </c>
    </row>
    <row r="7" ht="15" customFormat="1" customHeight="1" s="4">
      <c r="A7" s="7" t="n">
        <v>2017</v>
      </c>
      <c r="B7" s="7" t="n">
        <v>300</v>
      </c>
      <c r="C7" s="7" t="n">
        <v>180</v>
      </c>
      <c r="D7" s="7" t="n">
        <v>480</v>
      </c>
      <c r="E7" s="7" t="n">
        <v>92</v>
      </c>
      <c r="F7" s="4" t="inlineStr">
        <is>
          <t>Continued 10b5-1 selling; IDGT sales to next-gen trusts</t>
        </is>
      </c>
    </row>
    <row r="8" ht="15" customFormat="1" customHeight="1" s="4">
      <c r="A8" s="7" t="n">
        <v>2018</v>
      </c>
      <c r="B8" s="7" t="n">
        <v>340</v>
      </c>
      <c r="C8" s="7" t="n">
        <v>210</v>
      </c>
      <c r="D8" s="7" t="n">
        <v>550</v>
      </c>
      <c r="E8" s="7" t="n">
        <v>100</v>
      </c>
      <c r="F8" s="4" t="inlineStr">
        <is>
          <t>GRAT rollover; Steve's Glenstone art acquisitions</t>
        </is>
      </c>
    </row>
    <row r="9" ht="15" customFormat="1" customHeight="1" s="4">
      <c r="A9" s="7" t="n">
        <v>2019</v>
      </c>
      <c r="B9" s="7" t="n">
        <v>380</v>
      </c>
      <c r="C9" s="7" t="n">
        <v>240</v>
      </c>
      <c r="D9" s="7" t="n">
        <v>620</v>
      </c>
      <c r="E9" s="7" t="n">
        <v>128</v>
      </c>
      <c r="F9" s="4" t="inlineStr">
        <is>
          <t>Envista spin</t>
        </is>
      </c>
    </row>
    <row r="10" ht="15" customFormat="1" customHeight="1" s="4">
      <c r="A10" s="7" t="n">
        <v>2020</v>
      </c>
      <c r="B10" s="7" t="n">
        <v>620</v>
      </c>
      <c r="C10" s="7" t="n">
        <v>380</v>
      </c>
      <c r="D10" s="7" t="n">
        <v>1000</v>
      </c>
      <c r="E10" s="7" t="n">
        <v>175</v>
      </c>
      <c r="F10" s="4" t="inlineStr">
        <is>
          <t>COVID-era stock strength; large gifting windows</t>
        </is>
      </c>
    </row>
    <row r="11" ht="15" customFormat="1" customHeight="1" s="4">
      <c r="A11" s="7" t="n">
        <v>2021</v>
      </c>
      <c r="B11" s="7" t="n">
        <v>480</v>
      </c>
      <c r="C11" s="7" t="n">
        <v>320</v>
      </c>
      <c r="D11" s="7" t="n">
        <v>800</v>
      </c>
      <c r="E11" s="7" t="n">
        <v>285</v>
      </c>
      <c r="F11" s="4" t="inlineStr">
        <is>
          <t>Cytiva/Aldevron integration; Steve's peak-window sales</t>
        </is>
      </c>
    </row>
    <row r="12" ht="15" customFormat="1" customHeight="1" s="4">
      <c r="A12" s="7" t="n">
        <v>2022</v>
      </c>
      <c r="B12" s="7" t="n">
        <v>320</v>
      </c>
      <c r="C12" s="7" t="n">
        <v>200</v>
      </c>
      <c r="D12" s="7" t="n">
        <v>520</v>
      </c>
      <c r="E12" s="7" t="n">
        <v>255</v>
      </c>
      <c r="F12" s="4" t="inlineStr">
        <is>
          <t>Rising rates; asset shift</t>
        </is>
      </c>
    </row>
    <row r="13" ht="15" customFormat="1" customHeight="1" s="4">
      <c r="A13" s="7" t="n">
        <v>2023</v>
      </c>
      <c r="B13" s="7" t="n">
        <v>380</v>
      </c>
      <c r="C13" s="7" t="n">
        <v>240</v>
      </c>
      <c r="D13" s="7" t="n">
        <v>620</v>
      </c>
      <c r="E13" s="7" t="n">
        <v>235</v>
      </c>
      <c r="F13" s="4" t="inlineStr">
        <is>
          <t>Veralto spin; renewed diversification</t>
        </is>
      </c>
    </row>
    <row r="14" ht="15" customFormat="1" customHeight="1" s="4">
      <c r="A14" s="7" t="n">
        <v>2024</v>
      </c>
      <c r="B14" s="7" t="n">
        <v>340</v>
      </c>
      <c r="C14" s="7" t="n">
        <v>220</v>
      </c>
      <c r="D14" s="7" t="n">
        <v>560</v>
      </c>
      <c r="E14" s="7" t="n">
        <v>255</v>
      </c>
      <c r="F14" s="4" t="inlineStr">
        <is>
          <t>GRAT rollover cycle</t>
        </is>
      </c>
    </row>
    <row r="15" ht="15" customFormat="1" customHeight="1" s="4">
      <c r="A15" s="7" t="n">
        <v>2025</v>
      </c>
      <c r="B15" s="7" t="n">
        <v>320</v>
      </c>
      <c r="C15" s="7" t="n">
        <v>210</v>
      </c>
      <c r="D15" s="7" t="n">
        <v>530</v>
      </c>
      <c r="E15" s="7" t="n">
        <v>260</v>
      </c>
      <c r="F15" s="4" t="inlineStr">
        <is>
          <t>Steady 10b5-1 execution</t>
        </is>
      </c>
    </row>
    <row r="16" ht="15" customFormat="1" customHeight="1" s="4">
      <c r="A16" s="4" t="inlineStr">
        <is>
          <t>Cumulative 2015-2025</t>
        </is>
      </c>
      <c r="B16" s="7" t="n">
        <v>4280</v>
      </c>
      <c r="C16" s="7" t="n">
        <v>2670</v>
      </c>
      <c r="D16" s="7" t="n">
        <v>6950</v>
      </c>
      <c r="E16" s="4" t="inlineStr">
        <is>
          <t>—</t>
        </is>
      </c>
      <c r="F16" s="4" t="inlineStr">
        <is>
          <t>Approximately $7B in aggregate Rales-family DHR sales</t>
        </is>
      </c>
    </row>
    <row r="17" ht="15" customFormat="1" customHeight="1" s="4"/>
    <row r="18" ht="15" customFormat="1" customHeight="1" s="4">
      <c r="A18" s="4" t="inlineStr">
        <is>
          <t>Estimated deployment</t>
        </is>
      </c>
    </row>
    <row r="19" ht="15" customFormat="1" customHeight="1" s="4">
      <c r="A19" s="4" t="inlineStr">
        <is>
          <t>Glenstone Museum (Steve)</t>
        </is>
      </c>
      <c r="D19" s="4" t="inlineStr">
        <is>
          <t>~$2B+</t>
        </is>
      </c>
      <c r="F19" s="4" t="inlineStr">
        <is>
          <t>Founded 2006; 2018 Phifer expansion</t>
        </is>
      </c>
    </row>
    <row r="20" ht="15" customFormat="1" customHeight="1" s="4">
      <c r="A20" s="4" t="inlineStr">
        <is>
          <t>Indian Paintbrush (Steve)</t>
        </is>
      </c>
      <c r="D20" s="4" t="inlineStr">
        <is>
          <t>~$0.4B</t>
        </is>
      </c>
      <c r="F20" s="4" t="inlineStr">
        <is>
          <t>Wes Anderson film co-financing vehicle</t>
        </is>
      </c>
    </row>
    <row r="21" ht="15" customFormat="1" customHeight="1" s="4">
      <c r="A21" s="4" t="inlineStr">
        <is>
          <t>Rales Family Foundation (Mitch)</t>
        </is>
      </c>
      <c r="D21" s="4" t="inlineStr">
        <is>
          <t>~$0.5B+</t>
        </is>
      </c>
      <c r="F21" s="4" t="inlineStr">
        <is>
          <t>Arts, medicine, education philanthropic vehicle</t>
        </is>
      </c>
    </row>
    <row r="22" ht="15" customFormat="1" customHeight="1" s="4">
      <c r="A22" s="4" t="inlineStr">
        <is>
          <t>Diversification portfolios (both)</t>
        </is>
      </c>
      <c r="D22" s="4" t="inlineStr">
        <is>
          <t>~$3B</t>
        </is>
      </c>
      <c r="F22" s="4" t="inlineStr">
        <is>
          <t>Fixed income, real estate, private-market allocations</t>
        </is>
      </c>
    </row>
    <row r="23" ht="15" customFormat="1" customHeight="1" s="4">
      <c r="A23" s="4" t="inlineStr">
        <is>
          <t>Trust structures (both)</t>
        </is>
      </c>
      <c r="D23" s="4" t="inlineStr">
        <is>
          <t>~$1B+</t>
        </is>
      </c>
      <c r="F23" s="4" t="inlineStr">
        <is>
          <t>GRATs, IDGTs, dynasty trusts to next-gen</t>
        </is>
      </c>
    </row>
    <row r="24" ht="15" customFormat="1" customHeight="1" s="4"/>
    <row r="25" ht="15" customFormat="1" customHeight="1" s="4">
      <c r="A25" s="4" t="inlineStr">
        <is>
          <t>Ownership stake trajectory</t>
        </is>
      </c>
    </row>
    <row r="26" ht="15" customFormat="1" customHeight="1" s="4">
      <c r="A26" s="4" t="inlineStr">
        <is>
          <t>Steve Rales DHR, 2015</t>
        </is>
      </c>
      <c r="B26" s="4" t="inlineStr">
        <is>
          <t>~7.5%</t>
        </is>
      </c>
      <c r="F26" s="4" t="inlineStr">
        <is>
          <t>Pre-Fortive spin baseline</t>
        </is>
      </c>
    </row>
    <row r="27" ht="15" customFormat="1" customHeight="1" s="4">
      <c r="A27" s="4" t="inlineStr">
        <is>
          <t>Steve Rales DHR, 2020</t>
        </is>
      </c>
      <c r="B27" s="4" t="inlineStr">
        <is>
          <t>~5.5%</t>
        </is>
      </c>
      <c r="F27" s="4" t="inlineStr">
        <is>
          <t>Post-spin, gradual reduction</t>
        </is>
      </c>
    </row>
    <row r="28" ht="15" customFormat="1" customHeight="1" s="4">
      <c r="A28" s="4" t="inlineStr">
        <is>
          <t>Steve Rales DHR, 2026</t>
        </is>
      </c>
      <c r="B28" s="4" t="inlineStr">
        <is>
          <t>~3.5%</t>
        </is>
      </c>
      <c r="F28" s="4" t="inlineStr">
        <is>
          <t>Current — still ~$6B+ individual holding</t>
        </is>
      </c>
    </row>
    <row r="29" ht="15" customFormat="1" customHeight="1" s="4">
      <c r="A29" s="4" t="inlineStr">
        <is>
          <t>Mitch Rales DHR, 2015</t>
        </is>
      </c>
      <c r="B29" s="4" t="inlineStr">
        <is>
          <t>~5.5%</t>
        </is>
      </c>
      <c r="F29" s="4" t="inlineStr">
        <is>
          <t>Pre-Fortive spin baseline</t>
        </is>
      </c>
    </row>
    <row r="30" ht="15" customFormat="1" customHeight="1" s="4">
      <c r="A30" s="4" t="inlineStr">
        <is>
          <t>Mitch Rales DHR, 2020</t>
        </is>
      </c>
      <c r="B30" s="4" t="inlineStr">
        <is>
          <t>~4.0%</t>
        </is>
      </c>
      <c r="F30" s="4" t="inlineStr">
        <is>
          <t>Post-spin, gradual reduction</t>
        </is>
      </c>
    </row>
    <row r="31" ht="15" customFormat="1" customHeight="1" s="4">
      <c r="A31" s="4" t="inlineStr">
        <is>
          <t>Mitch Rales DHR, 2026</t>
        </is>
      </c>
      <c r="B31" s="4" t="inlineStr">
        <is>
          <t>~2.5%</t>
        </is>
      </c>
      <c r="F31" s="4" t="inlineStr">
        <is>
          <t>Current — still ~$4B+ individual holding</t>
        </is>
      </c>
    </row>
  </sheetData>
  <mergeCells count="2">
    <mergeCell ref="A2:F2"/>
    <mergeCell ref="A1:F1"/>
  </mergeCells>
  <printOptions horizontalCentered="1" verticalCentered="0" headings="0" gridLines="0" gridLinesSet="1"/>
  <pageMargins left="0.5" right="0.5" top="0.5" bottom="0.5" header="0.3" footer="0.3"/>
  <pageSetup orientation="landscape" paperSize="1" scale="100" fitToHeight="0" fitToWidth="1" pageOrder="downThenOver" blackAndWhite="0" draft="0" horizontalDpi="300" verticalDpi="300" copies="1"/>
  <headerFooter differentOddEven="0" differentFirst="0">
    <oddHeader>&amp;L&amp;8 &amp;K3C3F45RALES_OWNERSHIP&amp;C&amp;9 &amp;K0d2747RALES_OWNERSHIP&amp;R&amp;8 &amp;KC89000BARATELLI INSTITUTE  *  MENTORING AT SCALE</oddHeader>
    <oddFooter>&amp;L&amp;8 &amp;K3C3F45baratelliinstitute.com&amp;C&amp;8 &amp;K3C3F45Page &amp;P of &amp;N&amp;R&amp;8 &amp;K3C3F45Danaher Compounder 2026</oddFooter>
    <evenHeader/>
    <evenFooter/>
    <firstHeader/>
    <firstFooter/>
  </headerFooter>
</worksheet>
</file>

<file path=xl/worksheets/sheet21.xml><?xml version="1.0" encoding="utf-8"?>
<worksheet xmlns="http://schemas.openxmlformats.org/spreadsheetml/2006/main">
  <sheetPr filterMode="0">
    <outlinePr summaryBelow="1" summaryRight="1"/>
    <pageSetUpPr fitToPage="1"/>
  </sheetPr>
  <dimension ref="A1:E22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A1" activeCellId="0" sqref="A1"/>
    </sheetView>
  </sheetViews>
  <sheetFormatPr baseColWidth="8" defaultColWidth="8.6796875" defaultRowHeight="15" customHeight="0" zeroHeight="0" outlineLevelRow="0"/>
  <cols>
    <col width="34" customWidth="1" style="4" min="1" max="1"/>
    <col width="24" customWidth="1" style="4" min="2" max="2"/>
    <col width="30" customWidth="1" style="4" min="3" max="3"/>
    <col width="26" customWidth="1" style="4" min="4" max="4"/>
    <col width="32" customWidth="1" style="4" min="5" max="5"/>
  </cols>
  <sheetData>
    <row r="1" ht="21.75" customFormat="1" customHeight="1" s="4">
      <c r="A1" s="4" t="inlineStr">
        <is>
          <t>Culp Comparison — Danaher DBS Era (2001-14) vs GE Transformation (2018-24)</t>
        </is>
      </c>
    </row>
    <row r="2" ht="15" customFormat="1" customHeight="1" s="4">
      <c r="A2" s="4" t="inlineStr">
        <is>
          <t>The same operator applying the same methodology at radically different scale.</t>
        </is>
      </c>
    </row>
    <row r="3" ht="15" customFormat="1" customHeight="1" s="4"/>
    <row r="4" ht="15" customFormat="1" customHeight="1" s="4">
      <c r="A4" s="4" t="inlineStr">
        <is>
          <t>Metric</t>
        </is>
      </c>
      <c r="B4" s="4" t="inlineStr">
        <is>
          <t>Culp — Danaher (2001)</t>
        </is>
      </c>
      <c r="C4" s="4" t="inlineStr">
        <is>
          <t>Culp — Danaher (2014)</t>
        </is>
      </c>
      <c r="D4" s="4" t="inlineStr">
        <is>
          <t>Culp — GE (2018)</t>
        </is>
      </c>
      <c r="E4" s="4" t="inlineStr">
        <is>
          <t>Culp — GE (2024)</t>
        </is>
      </c>
    </row>
    <row r="5" ht="15" customFormat="1" customHeight="1" s="4">
      <c r="A5" s="4" t="inlineStr">
        <is>
          <t>Role</t>
        </is>
      </c>
      <c r="B5" s="4" t="inlineStr">
        <is>
          <t>CEO — joined Danaher 1990, CEO 2001</t>
        </is>
      </c>
      <c r="C5" s="4" t="inlineStr">
        <is>
          <t>CEO — stepped down 2014</t>
        </is>
      </c>
      <c r="D5" s="4" t="inlineStr">
        <is>
          <t>CEO — appointed Oct 1, 2018 (first external CEO in GE's 126-yr history)</t>
        </is>
      </c>
      <c r="E5" s="4" t="inlineStr">
        <is>
          <t>CEO of GE Aerospace</t>
        </is>
      </c>
    </row>
    <row r="6" ht="15" customFormat="1" customHeight="1" s="4">
      <c r="A6" s="4" t="inlineStr">
        <is>
          <t>Revenue ($B)</t>
        </is>
      </c>
      <c r="B6" s="7" t="n">
        <v>3.8</v>
      </c>
      <c r="C6" s="7" t="n">
        <v>19.9</v>
      </c>
      <c r="D6" s="7" t="n">
        <v>121.6</v>
      </c>
      <c r="E6" s="4" t="inlineStr">
        <is>
          <t>GE Aero: 35.1; sum with spin cos ~90</t>
        </is>
      </c>
    </row>
    <row r="7" ht="15" customFormat="1" customHeight="1" s="4">
      <c r="A7" s="4" t="inlineStr">
        <is>
          <t>Market cap ($B)</t>
        </is>
      </c>
      <c r="B7" s="7" t="n">
        <v>5</v>
      </c>
      <c r="C7" s="7" t="n">
        <v>50</v>
      </c>
      <c r="D7" s="7" t="n">
        <v>90</v>
      </c>
      <c r="E7" s="4" t="inlineStr">
        <is>
          <t>GE Aero: ~180; combined 3 entities ~380</t>
        </is>
      </c>
    </row>
    <row r="8" ht="15" customFormat="1" customHeight="1" s="4">
      <c r="A8" s="4" t="inlineStr">
        <is>
          <t>Operating margin</t>
        </is>
      </c>
      <c r="B8" s="4" t="inlineStr">
        <is>
          <t>12%</t>
        </is>
      </c>
      <c r="C8" s="4" t="inlineStr">
        <is>
          <t>17%</t>
        </is>
      </c>
      <c r="D8" s="4" t="inlineStr">
        <is>
          <t>8-9%</t>
        </is>
      </c>
      <c r="E8" s="4" t="inlineStr">
        <is>
          <t>GE Aero: 19%+</t>
        </is>
      </c>
    </row>
    <row r="9" ht="15" customFormat="1" customHeight="1" s="4">
      <c r="A9" s="4" t="inlineStr">
        <is>
          <t>Deals during tenure</t>
        </is>
      </c>
      <c r="B9" s="4" t="inlineStr">
        <is>
          <t>—</t>
        </is>
      </c>
      <c r="C9" s="4" t="inlineStr">
        <is>
          <t>70+ acquisitions inc. Radiometer, Leica, Beckman Coulter, Pall</t>
        </is>
      </c>
      <c r="D9" s="4" t="inlineStr">
        <is>
          <t>—</t>
        </is>
      </c>
      <c r="E9" s="4" t="inlineStr">
        <is>
          <t>3-way split executed (GE Healthcare 2023, GE Vernova 2024, GE Aero)</t>
        </is>
      </c>
    </row>
    <row r="10" ht="15" customFormat="1" customHeight="1" s="4">
      <c r="A10" s="4" t="inlineStr">
        <is>
          <t>Total shareholder return</t>
        </is>
      </c>
      <c r="B10" s="4" t="inlineStr">
        <is>
          <t>—</t>
        </is>
      </c>
      <c r="C10" s="4" t="inlineStr">
        <is>
          <t>~10x from 2001-2014</t>
        </is>
      </c>
      <c r="D10" s="4" t="inlineStr">
        <is>
          <t>—</t>
        </is>
      </c>
      <c r="E10" s="4" t="inlineStr">
        <is>
          <t>~4x from 2018-2024 (sum of splits)</t>
        </is>
      </c>
    </row>
    <row r="11" ht="15" customFormat="1" customHeight="1" s="4"/>
    <row r="12" ht="15" customFormat="1" customHeight="1" s="4">
      <c r="A12" s="4" t="inlineStr">
        <is>
          <t>Operating discipline applied</t>
        </is>
      </c>
    </row>
    <row r="13" ht="15" customFormat="1" customHeight="1" s="4">
      <c r="A13" s="4" t="inlineStr">
        <is>
          <t>Kaizen intensity</t>
        </is>
      </c>
      <c r="B13" s="4" t="inlineStr">
        <is>
          <t>Weekly kaizen across Danaher</t>
        </is>
      </c>
      <c r="C13" s="4" t="inlineStr">
        <is>
          <t>Weekly kaizen; DBS mature</t>
        </is>
      </c>
      <c r="D13" s="4" t="inlineStr">
        <is>
          <t>Kaizen intro'd GE Aviation/Power</t>
        </is>
      </c>
      <c r="E13" s="4" t="inlineStr">
        <is>
          <t>GE Aero: full Lean cadence</t>
        </is>
      </c>
    </row>
    <row r="14" ht="15" customFormat="1" customHeight="1" s="4">
      <c r="A14" s="4" t="inlineStr">
        <is>
          <t>Portfolio pruning</t>
        </is>
      </c>
      <c r="B14" s="4" t="inlineStr">
        <is>
          <t>Sybron divestment, tuck-in exits</t>
        </is>
      </c>
      <c r="C14" s="4" t="inlineStr">
        <is>
          <t>Fortive spin announced Sept 2015</t>
        </is>
      </c>
      <c r="D14" s="4" t="inlineStr">
        <is>
          <t>GE Capital wind-down</t>
        </is>
      </c>
      <c r="E14" s="4" t="inlineStr">
        <is>
          <t>GE Healthcare + GE Vernova spun; 1/3 the original complexity</t>
        </is>
      </c>
    </row>
    <row r="15" ht="15" customFormat="1" customHeight="1" s="4">
      <c r="A15" s="4" t="inlineStr">
        <is>
          <t>Capital allocation</t>
        </is>
      </c>
      <c r="B15" s="4" t="inlineStr">
        <is>
          <t>Serial acq + margin expansion</t>
        </is>
      </c>
      <c r="C15" s="4" t="inlineStr">
        <is>
          <t>Higher-quality M&amp;A; higher-margin platforms</t>
        </is>
      </c>
      <c r="D15" s="4" t="inlineStr">
        <is>
          <t>Alstom Power write-downs; GE Cap drawdown</t>
        </is>
      </c>
      <c r="E15" s="4" t="inlineStr">
        <is>
          <t>Aerospace-only reinvestment</t>
        </is>
      </c>
    </row>
    <row r="16" ht="15" customFormat="1" customHeight="1" s="4">
      <c r="A16" s="4" t="inlineStr">
        <is>
          <t>Cash conversion cycle</t>
        </is>
      </c>
      <c r="B16" s="4" t="inlineStr">
        <is>
          <t>-40% DBS improvement</t>
        </is>
      </c>
      <c r="C16" s="4" t="inlineStr">
        <is>
          <t>Sub-industry CCC</t>
        </is>
      </c>
      <c r="D16" s="4" t="inlineStr">
        <is>
          <t>Negative CCC at start</t>
        </is>
      </c>
      <c r="E16" s="4" t="inlineStr">
        <is>
          <t>GE Aero: 90%+ cash conversion</t>
        </is>
      </c>
    </row>
    <row r="17" ht="15" customFormat="1" customHeight="1" s="4"/>
    <row r="18" ht="15" customFormat="1" customHeight="1" s="4">
      <c r="A18" s="4" t="inlineStr">
        <is>
          <t>Key learnings</t>
        </is>
      </c>
    </row>
    <row r="19" ht="15" customFormat="1" customHeight="1" s="4">
      <c r="A19" s="4" t="inlineStr">
        <is>
          <t>DBS at Fortune 10 scale — proven?</t>
        </is>
      </c>
      <c r="C19" s="4" t="inlineStr">
        <is>
          <t>Yes — 3 spins each viable standalone</t>
        </is>
      </c>
      <c r="E19" s="4" t="inlineStr">
        <is>
          <t>GE 3-way = pattern of pruning-via-spin</t>
        </is>
      </c>
    </row>
    <row r="20" ht="15" customFormat="1" customHeight="1" s="4">
      <c r="A20" s="4" t="inlineStr">
        <is>
          <t>Timeline to show at massive scale</t>
        </is>
      </c>
      <c r="C20" s="4" t="inlineStr">
        <is>
          <t>3-5 years typical</t>
        </is>
      </c>
      <c r="E20" s="4" t="inlineStr">
        <is>
          <t>6 years (2018-2024)</t>
        </is>
      </c>
    </row>
    <row r="21" ht="15" customFormat="1" customHeight="1" s="4">
      <c r="A21" s="4" t="inlineStr">
        <is>
          <t>What Culp couldn't fix</t>
        </is>
      </c>
      <c r="C21" s="4" t="inlineStr">
        <is>
          <t>N/A</t>
        </is>
      </c>
      <c r="E21" s="4" t="inlineStr">
        <is>
          <t>GE Vernova legacy Alstom Power grid overbuild</t>
        </is>
      </c>
    </row>
    <row r="22" ht="15" customFormat="1" customHeight="1" s="4">
      <c r="A22" s="4" t="inlineStr">
        <is>
          <t>Critics of the playbook</t>
        </is>
      </c>
      <c r="C22" s="4" t="inlineStr">
        <is>
          <t>N/A</t>
        </is>
      </c>
      <c r="E22" s="4" t="inlineStr">
        <is>
          <t>Nell Minow, Barron's — did split fully compound or unlock trapped value?</t>
        </is>
      </c>
    </row>
  </sheetData>
  <mergeCells count="2">
    <mergeCell ref="A2:E2"/>
    <mergeCell ref="A1:E1"/>
  </mergeCells>
  <printOptions horizontalCentered="1" verticalCentered="0" headings="0" gridLines="0" gridLinesSet="1"/>
  <pageMargins left="0.5" right="0.5" top="0.5" bottom="0.5" header="0.3" footer="0.3"/>
  <pageSetup orientation="landscape" paperSize="1" scale="100" fitToHeight="0" fitToWidth="1" pageOrder="downThenOver" blackAndWhite="0" draft="0" horizontalDpi="300" verticalDpi="300" copies="1"/>
  <headerFooter differentOddEven="0" differentFirst="0">
    <oddHeader>&amp;L&amp;8 &amp;K3C3F45CULP_COMPARISON&amp;C&amp;9 &amp;K0d2747CULP_COMPARISON&amp;R&amp;8 &amp;KC89000BARATELLI INSTITUTE  *  MENTORING AT SCALE</oddHeader>
    <oddFooter>&amp;L&amp;8 &amp;K3C3F45baratelliinstitute.com&amp;C&amp;8 &amp;K3C3F45Page &amp;P of &amp;N&amp;R&amp;8 &amp;K3C3F45Danaher Compounder 2026</oddFooter>
    <evenHeader/>
    <evenFooter/>
    <firstHeader/>
    <firstFooter/>
  </headerFooter>
</worksheet>
</file>

<file path=xl/worksheets/sheet22.xml><?xml version="1.0" encoding="utf-8"?>
<worksheet xmlns="http://schemas.openxmlformats.org/spreadsheetml/2006/main">
  <sheetPr filterMode="0">
    <outlinePr summaryBelow="1" summaryRight="1"/>
    <pageSetUpPr fitToPage="1"/>
  </sheetPr>
  <dimension ref="A1:F21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A1" activeCellId="0" sqref="A1"/>
    </sheetView>
  </sheetViews>
  <sheetFormatPr baseColWidth="8" defaultColWidth="8.6796875" defaultRowHeight="15" customHeight="0" zeroHeight="0" outlineLevelRow="0"/>
  <cols>
    <col width="34" customWidth="1" style="4" min="1" max="1"/>
    <col width="26" customWidth="1" style="4" min="2" max="2"/>
    <col width="28" customWidth="1" style="4" min="3" max="3"/>
    <col width="26" customWidth="1" style="4" min="4" max="4"/>
    <col width="34" customWidth="1" style="4" min="5" max="5"/>
    <col width="24" customWidth="1" style="4" min="6" max="6"/>
  </cols>
  <sheetData>
    <row r="1" ht="21.75" customFormat="1" customHeight="1" s="4">
      <c r="A1" s="4" t="inlineStr">
        <is>
          <t>Compounder Taxonomy — Four Archetypes</t>
        </is>
      </c>
    </row>
    <row r="2" ht="15" customFormat="1" customHeight="1" s="4">
      <c r="A2" s="4" t="inlineStr">
        <is>
          <t>Where Danaher fits. Berkshire (owner-discretion) / Constellation (permanent-capital VMS) / LVMH (brand-portfolio) / Danaher (operating-system).</t>
        </is>
      </c>
    </row>
    <row r="3" ht="15" customFormat="1" customHeight="1" s="4"/>
    <row r="4" ht="15" customFormat="1" customHeight="1" s="4">
      <c r="A4" s="4" t="inlineStr">
        <is>
          <t>Dimension</t>
        </is>
      </c>
      <c r="B4" s="4" t="inlineStr">
        <is>
          <t>Berkshire Hathaway</t>
        </is>
      </c>
      <c r="C4" s="4" t="inlineStr">
        <is>
          <t>Constellation Software</t>
        </is>
      </c>
      <c r="D4" s="4" t="inlineStr">
        <is>
          <t>LVMH</t>
        </is>
      </c>
      <c r="E4" s="4" t="inlineStr">
        <is>
          <t>Danaher</t>
        </is>
      </c>
      <c r="F4" s="4" t="inlineStr">
        <is>
          <t>Notes</t>
        </is>
      </c>
    </row>
    <row r="5" ht="15" customFormat="1" customHeight="1" s="4">
      <c r="A5" s="4" t="inlineStr">
        <is>
          <t>Founder era</t>
        </is>
      </c>
      <c r="B5" s="4" t="inlineStr">
        <is>
          <t>Warren Buffett 1965-</t>
        </is>
      </c>
      <c r="C5" s="4" t="inlineStr">
        <is>
          <t>Mark Leonard 1995-</t>
        </is>
      </c>
      <c r="D5" s="4" t="inlineStr">
        <is>
          <t>Bernard Arnault 1984-</t>
        </is>
      </c>
      <c r="E5" s="4" t="inlineStr">
        <is>
          <t>Rales Brothers 1984-</t>
        </is>
      </c>
      <c r="F5" s="4" t="inlineStr">
        <is>
          <t>All founder-anchored</t>
        </is>
      </c>
    </row>
    <row r="6" ht="15" customFormat="1" customHeight="1" s="4">
      <c r="A6" s="4" t="inlineStr">
        <is>
          <t>Compounder archetype</t>
        </is>
      </c>
      <c r="B6" s="4" t="inlineStr">
        <is>
          <t>Owner-discretion (capital allocator)</t>
        </is>
      </c>
      <c r="C6" s="4" t="inlineStr">
        <is>
          <t>Permanent-capital VMS aggregator</t>
        </is>
      </c>
      <c r="D6" s="4" t="inlineStr">
        <is>
          <t>Brand-portfolio compounder</t>
        </is>
      </c>
      <c r="E6" s="4" t="inlineStr">
        <is>
          <t>Operating-system compounder</t>
        </is>
      </c>
      <c r="F6" s="4" t="inlineStr">
        <is>
          <t>Distinct philosophies</t>
        </is>
      </c>
    </row>
    <row r="7" ht="15" customFormat="1" customHeight="1" s="4">
      <c r="A7" s="4" t="inlineStr">
        <is>
          <t>Core moat mechanism</t>
        </is>
      </c>
      <c r="B7" s="4" t="inlineStr">
        <is>
          <t>Float + capital allocation</t>
        </is>
      </c>
      <c r="C7" s="4" t="inlineStr">
        <is>
          <t>Hurdle rate discipline</t>
        </is>
      </c>
      <c r="D7" s="4" t="inlineStr">
        <is>
          <t>Brand equity + heritage</t>
        </is>
      </c>
      <c r="E7" s="4" t="inlineStr">
        <is>
          <t>DBS installed operating system</t>
        </is>
      </c>
      <c r="F7" s="4" t="inlineStr">
        <is>
          <t>The reproducible mechanism</t>
        </is>
      </c>
    </row>
    <row r="8" ht="15" customFormat="1" customHeight="1" s="4">
      <c r="A8" s="4" t="inlineStr">
        <is>
          <t>Number of major acquisitions</t>
        </is>
      </c>
      <c r="B8" s="4" t="inlineStr">
        <is>
          <t>~90 controlled + 50+ public equity</t>
        </is>
      </c>
      <c r="C8" s="4" t="inlineStr">
        <is>
          <t>800+ (mostly small)</t>
        </is>
      </c>
      <c r="D8" s="4" t="inlineStr">
        <is>
          <t>~75 maisons</t>
        </is>
      </c>
      <c r="E8" s="4" t="inlineStr">
        <is>
          <t>~400+</t>
        </is>
      </c>
      <c r="F8" s="4" t="inlineStr">
        <is>
          <t>Danaher second only to CSU in count</t>
        </is>
      </c>
    </row>
    <row r="9" ht="15" customFormat="1" customHeight="1" s="4">
      <c r="A9" s="4" t="inlineStr">
        <is>
          <t>Average deal size</t>
        </is>
      </c>
      <c r="B9" s="4" t="inlineStr">
        <is>
          <t>~$3-5B (controlled)</t>
        </is>
      </c>
      <c r="C9" s="4" t="inlineStr">
        <is>
          <t>~$5-10M</t>
        </is>
      </c>
      <c r="D9" s="4" t="inlineStr">
        <is>
          <t>~$0.5-2B</t>
        </is>
      </c>
      <c r="E9" s="4" t="inlineStr">
        <is>
          <t>~$0.2-1B</t>
        </is>
      </c>
      <c r="F9" s="4" t="inlineStr">
        <is>
          <t>Danaher = mid-cap acquirer at scale</t>
        </is>
      </c>
    </row>
    <row r="10" ht="15" customFormat="1" customHeight="1" s="4">
      <c r="A10" s="4" t="inlineStr">
        <is>
          <t>Portfolio turnover</t>
        </is>
      </c>
      <c r="B10" s="4" t="inlineStr">
        <is>
          <t>Very low — permanent hold</t>
        </is>
      </c>
      <c r="C10" s="4" t="inlineStr">
        <is>
          <t>Zero — no divestitures</t>
        </is>
      </c>
      <c r="D10" s="4" t="inlineStr">
        <is>
          <t>Very low — strategic only</t>
        </is>
      </c>
      <c r="E10" s="4" t="inlineStr">
        <is>
          <t>Moderate — 3 spinoffs</t>
        </is>
      </c>
      <c r="F10" s="4" t="inlineStr">
        <is>
          <t>Danaher unique in spinoffs</t>
        </is>
      </c>
    </row>
    <row r="11" ht="15" customFormat="1" customHeight="1" s="4">
      <c r="A11" s="4" t="inlineStr">
        <is>
          <t>Operating autonomy at target</t>
        </is>
      </c>
      <c r="B11" s="4" t="inlineStr">
        <is>
          <t>High — Buffett trusts operators</t>
        </is>
      </c>
      <c r="C11" s="4" t="inlineStr">
        <is>
          <t>High — decentralized</t>
        </is>
      </c>
      <c r="D11" s="4" t="inlineStr">
        <is>
          <t>High — each maison autonomous</t>
        </is>
      </c>
      <c r="E11" s="4" t="inlineStr">
        <is>
          <t>Low-medium — DBS in 100 days</t>
        </is>
      </c>
      <c r="F11" s="4" t="inlineStr">
        <is>
          <t>Danaher most systematized</t>
        </is>
      </c>
    </row>
    <row r="12" ht="15" customFormat="1" customHeight="1" s="4">
      <c r="A12" s="4" t="inlineStr">
        <is>
          <t>Central operating discipline</t>
        </is>
      </c>
      <c r="B12" s="4" t="inlineStr">
        <is>
          <t>None imposed</t>
        </is>
      </c>
      <c r="C12" s="4" t="inlineStr">
        <is>
          <t>Portfolio metrics reviewed quarterly</t>
        </is>
      </c>
      <c r="D12" s="4" t="inlineStr">
        <is>
          <t>Central luxury-marketing</t>
        </is>
      </c>
      <c r="E12" s="4" t="inlineStr">
        <is>
          <t>DBS toolkit (Kaizen, VVC, PIT, VSM, Hoshin)</t>
        </is>
      </c>
      <c r="F12" s="4" t="inlineStr">
        <is>
          <t>Danaher most codified</t>
        </is>
      </c>
    </row>
    <row r="13" ht="15" customFormat="1" customHeight="1" s="4">
      <c r="A13" s="4" t="inlineStr">
        <is>
          <t>40-yr TSR (illustrative)</t>
        </is>
      </c>
      <c r="B13" s="4" t="inlineStr">
        <is>
          <t>~30,000x from 1965</t>
        </is>
      </c>
      <c r="C13" s="4" t="inlineStr">
        <is>
          <t>~500x from 1995 (30 yr)</t>
        </is>
      </c>
      <c r="D13" s="4" t="inlineStr">
        <is>
          <t>~200x from 1984</t>
        </is>
      </c>
      <c r="E13" s="4" t="inlineStr">
        <is>
          <t>~10,000x from 1984</t>
        </is>
      </c>
      <c r="F13" s="4" t="inlineStr">
        <is>
          <t>All exceptional</t>
        </is>
      </c>
    </row>
    <row r="14" ht="15" customFormat="1" customHeight="1" s="4">
      <c r="A14" s="4" t="inlineStr">
        <is>
          <t>Public listing</t>
        </is>
      </c>
      <c r="B14" s="4" t="inlineStr">
        <is>
          <t>NYSE:BRK.A/B</t>
        </is>
      </c>
      <c r="C14" s="4" t="inlineStr">
        <is>
          <t>TSX:CSU</t>
        </is>
      </c>
      <c r="D14" s="4" t="inlineStr">
        <is>
          <t>EPA:MC</t>
        </is>
      </c>
      <c r="E14" s="4" t="inlineStr">
        <is>
          <t>NYSE:DHR + 3 spins</t>
        </is>
      </c>
      <c r="F14" s="4" t="inlineStr">
        <is>
          <t>All publicly traded</t>
        </is>
      </c>
    </row>
    <row r="15" ht="15" customFormat="1" customHeight="1" s="4">
      <c r="A15" s="4" t="inlineStr">
        <is>
          <t>Market cap 2026 ($B)</t>
        </is>
      </c>
      <c r="B15" s="4" t="inlineStr">
        <is>
          <t>~1000</t>
        </is>
      </c>
      <c r="C15" s="4" t="inlineStr">
        <is>
          <t>~90</t>
        </is>
      </c>
      <c r="D15" s="4" t="inlineStr">
        <is>
          <t>~350</t>
        </is>
      </c>
      <c r="E15" s="4" t="inlineStr">
        <is>
          <t>~180 (+ 30+4+22 lineage)</t>
        </is>
      </c>
      <c r="F15" s="4" t="inlineStr">
        <is>
          <t>Berkshire = largest single</t>
        </is>
      </c>
    </row>
    <row r="16" ht="15" customFormat="1" customHeight="1" s="4"/>
    <row r="17" ht="15" customFormat="1" customHeight="1" s="4">
      <c r="A17" s="4" t="inlineStr">
        <is>
          <t>What each does NOT do</t>
        </is>
      </c>
    </row>
    <row r="18" ht="15" customFormat="1" customHeight="1" s="4">
      <c r="A18" s="4" t="inlineStr">
        <is>
          <t>Berkshire never does</t>
        </is>
      </c>
      <c r="B18" s="4" t="inlineStr">
        <is>
          <t>Never imposes operating discipline; never sells businesses</t>
        </is>
      </c>
    </row>
    <row r="19" ht="15" customFormat="1" customHeight="1" s="4">
      <c r="A19" s="4" t="inlineStr">
        <is>
          <t>Constellation never does</t>
        </is>
      </c>
      <c r="B19" s="4" t="inlineStr">
        <is>
          <t>Never divests (target: perpetual hold); never buys above hurdle IRR</t>
        </is>
      </c>
    </row>
    <row r="20" ht="15" customFormat="1" customHeight="1" s="4">
      <c r="A20" s="4" t="inlineStr">
        <is>
          <t>LVMH never does</t>
        </is>
      </c>
      <c r="B20" s="4" t="inlineStr">
        <is>
          <t>Never dilutes brand identity; never sells a maison (rare)</t>
        </is>
      </c>
    </row>
    <row r="21" ht="15" customFormat="1" customHeight="1" s="4">
      <c r="A21" s="4" t="inlineStr">
        <is>
          <t>Danaher never does</t>
        </is>
      </c>
      <c r="B21" s="4" t="inlineStr">
        <is>
          <t>Never acquires without a DBS integration plan; never operates without 100-day DBS install</t>
        </is>
      </c>
    </row>
  </sheetData>
  <mergeCells count="2">
    <mergeCell ref="A2:F2"/>
    <mergeCell ref="A1:F1"/>
  </mergeCells>
  <printOptions horizontalCentered="1" verticalCentered="0" headings="0" gridLines="0" gridLinesSet="1"/>
  <pageMargins left="0.5" right="0.5" top="0.5" bottom="0.5" header="0.3" footer="0.3"/>
  <pageSetup orientation="landscape" paperSize="1" scale="100" fitToHeight="0" fitToWidth="1" pageOrder="downThenOver" blackAndWhite="0" draft="0" horizontalDpi="300" verticalDpi="300" copies="1"/>
  <headerFooter differentOddEven="0" differentFirst="0">
    <oddHeader>&amp;L&amp;8 &amp;K3C3F45COMPOUNDER_TAX&amp;C&amp;9 &amp;K0d2747COMPOUNDER_TAX&amp;R&amp;8 &amp;KC89000BARATELLI INSTITUTE  *  MENTORING AT SCALE</oddHeader>
    <oddFooter>&amp;L&amp;8 &amp;K3C3F45baratelliinstitute.com&amp;C&amp;8 &amp;K3C3F45Page &amp;P of &amp;N&amp;R&amp;8 &amp;K3C3F45Danaher Compounder 2026</oddFooter>
    <evenHeader/>
    <evenFooter/>
    <firstHeader/>
    <firstFooter/>
  </headerFooter>
</worksheet>
</file>

<file path=xl/worksheets/sheet23.xml><?xml version="1.0" encoding="utf-8"?>
<worksheet xmlns="http://schemas.openxmlformats.org/spreadsheetml/2006/main">
  <sheetPr filterMode="0">
    <outlinePr summaryBelow="1" summaryRight="1"/>
    <pageSetUpPr fitToPage="1"/>
  </sheetPr>
  <dimension ref="A1:K64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baseColWidth="8" defaultColWidth="8.6796875" defaultRowHeight="15" customHeight="0" zeroHeight="0" outlineLevelRow="0"/>
  <cols>
    <col width="36" customWidth="1" style="4" min="1" max="1"/>
    <col width="13" customWidth="1" style="4" min="2" max="11"/>
  </cols>
  <sheetData>
    <row r="1" ht="15" customHeight="1" s="5">
      <c r="A1" s="4" t="inlineStr">
        <is>
          <t>DANAHER 3-STATEMENT MODEL — ASSUMPTIONS</t>
        </is>
      </c>
    </row>
    <row r="2" ht="15" customHeight="1" s="5">
      <c r="A2" s="4" t="inlineStr">
        <is>
          <t>($B unless noted; historicals from public filings; projections built from segment growth + margin drivers)</t>
        </is>
      </c>
    </row>
    <row r="3" ht="15" customHeight="1" s="5">
      <c r="A3" s="4" t="inlineStr">
        <is>
          <t>Driver</t>
        </is>
      </c>
      <c r="B3" s="4" t="inlineStr">
        <is>
          <t>FY22A</t>
        </is>
      </c>
      <c r="C3" s="4" t="inlineStr">
        <is>
          <t>FY23A</t>
        </is>
      </c>
      <c r="D3" s="4" t="inlineStr">
        <is>
          <t>FY24A</t>
        </is>
      </c>
      <c r="E3" s="4" t="inlineStr">
        <is>
          <t>FY25A</t>
        </is>
      </c>
      <c r="F3" s="4" t="inlineStr">
        <is>
          <t>LTM Q2'26</t>
        </is>
      </c>
      <c r="G3" s="4" t="inlineStr">
        <is>
          <t>FY26E</t>
        </is>
      </c>
      <c r="H3" s="4" t="inlineStr">
        <is>
          <t>FY27E</t>
        </is>
      </c>
      <c r="I3" s="4" t="inlineStr">
        <is>
          <t>FY28E</t>
        </is>
      </c>
      <c r="J3" s="4" t="inlineStr">
        <is>
          <t>FY29E</t>
        </is>
      </c>
      <c r="K3" s="4" t="inlineStr">
        <is>
          <t>FY30E</t>
        </is>
      </c>
    </row>
    <row r="5" ht="15" customHeight="1" s="5">
      <c r="A5" s="4" t="inlineStr">
        <is>
          <t>REVENUE GROWTH BY SEGMENT (%)</t>
        </is>
      </c>
    </row>
    <row r="6" ht="15" customHeight="1" s="5">
      <c r="A6" s="4" t="inlineStr">
        <is>
          <t xml:space="preserve">  Biotech growth %</t>
        </is>
      </c>
      <c r="B6" s="7" t="n">
        <v>0.09</v>
      </c>
      <c r="C6" s="7" t="n">
        <v>-0.198412698412698</v>
      </c>
      <c r="D6" s="7" t="n">
        <v>-0.099009900990099</v>
      </c>
      <c r="E6" s="7" t="n">
        <v>0.0219780219780221</v>
      </c>
      <c r="F6" s="7" t="n">
        <v>0.04</v>
      </c>
      <c r="G6" s="7" t="n">
        <v>0.04</v>
      </c>
      <c r="H6" s="7" t="n">
        <v>0.06</v>
      </c>
      <c r="I6" s="7" t="n">
        <v>0.06</v>
      </c>
      <c r="J6" s="7" t="n">
        <v>0.05</v>
      </c>
      <c r="K6" s="7" t="n">
        <v>0.05</v>
      </c>
    </row>
    <row r="7" ht="15" customHeight="1" s="5">
      <c r="A7" s="4" t="inlineStr">
        <is>
          <t xml:space="preserve">  Life Sciences growth %</t>
        </is>
      </c>
      <c r="B7" s="7" t="n">
        <v>0.1</v>
      </c>
      <c r="C7" s="7" t="n">
        <v>-0.0454545454545455</v>
      </c>
      <c r="D7" s="7" t="n">
        <v>-0.023809523809524</v>
      </c>
      <c r="E7" s="7" t="n">
        <v>0.0243902439024391</v>
      </c>
      <c r="F7" s="7" t="n">
        <v>0.03</v>
      </c>
      <c r="G7" s="7" t="n">
        <v>0.03</v>
      </c>
      <c r="H7" s="7" t="n">
        <v>0.04</v>
      </c>
      <c r="I7" s="7" t="n">
        <v>0.04</v>
      </c>
      <c r="J7" s="7" t="n">
        <v>0.04</v>
      </c>
      <c r="K7" s="7" t="n">
        <v>0.04</v>
      </c>
    </row>
    <row r="8" ht="15" customHeight="1" s="5">
      <c r="A8" s="4" t="inlineStr">
        <is>
          <t xml:space="preserve">  Diagnostics growth %</t>
        </is>
      </c>
      <c r="B8" s="7" t="n">
        <v>0.05</v>
      </c>
      <c r="C8" s="7" t="n">
        <v>0.0297029702970297</v>
      </c>
      <c r="D8" s="7" t="n">
        <v>0.0384615384615386</v>
      </c>
      <c r="E8" s="7" t="n">
        <v>0.0462962962962963</v>
      </c>
      <c r="F8" s="7" t="n">
        <v>0.04</v>
      </c>
      <c r="G8" s="7" t="n">
        <v>0.04</v>
      </c>
      <c r="H8" s="7" t="n">
        <v>0.04</v>
      </c>
      <c r="I8" s="7" t="n">
        <v>0.04</v>
      </c>
      <c r="J8" s="7" t="n">
        <v>0.04</v>
      </c>
      <c r="K8" s="7" t="n">
        <v>0.04</v>
      </c>
    </row>
    <row r="10" ht="15" customHeight="1" s="5">
      <c r="A10" s="4" t="inlineStr">
        <is>
          <t>SEGMENT REVENUE ($B) — built from growth drivers</t>
        </is>
      </c>
    </row>
    <row r="11" ht="15" customHeight="1" s="5">
      <c r="A11" s="4" t="inlineStr">
        <is>
          <t xml:space="preserve">  Biotech revenue</t>
        </is>
      </c>
      <c r="B11" s="7" t="n">
        <v>12.6</v>
      </c>
      <c r="C11" s="8">
        <f>B11*(1+C6)</f>
        <v/>
      </c>
      <c r="D11" s="8">
        <f>C11*(1+D6)</f>
        <v/>
      </c>
      <c r="E11" s="8">
        <f>D11*(1+E6)</f>
        <v/>
      </c>
      <c r="F11" s="8">
        <f>E11*(1+F6)</f>
        <v/>
      </c>
      <c r="G11" s="8">
        <f>E11*(1+G6)</f>
        <v/>
      </c>
      <c r="H11" s="8">
        <f>G11*(1+H6)</f>
        <v/>
      </c>
      <c r="I11" s="8">
        <f>H11*(1+I6)</f>
        <v/>
      </c>
      <c r="J11" s="8">
        <f>I11*(1+J6)</f>
        <v/>
      </c>
      <c r="K11" s="8">
        <f>J11*(1+K6)</f>
        <v/>
      </c>
    </row>
    <row r="12" ht="15" customHeight="1" s="5">
      <c r="A12" s="4" t="inlineStr">
        <is>
          <t xml:space="preserve">  Life Sciences revenue</t>
        </is>
      </c>
      <c r="B12" s="7" t="n">
        <v>8.800000000000001</v>
      </c>
      <c r="C12" s="8">
        <f>B12*(1+C7)</f>
        <v/>
      </c>
      <c r="D12" s="8">
        <f>C12*(1+D7)</f>
        <v/>
      </c>
      <c r="E12" s="8">
        <f>D12*(1+E7)</f>
        <v/>
      </c>
      <c r="F12" s="8">
        <f>E12*(1+F7)</f>
        <v/>
      </c>
      <c r="G12" s="8">
        <f>E12*(1+G7)</f>
        <v/>
      </c>
      <c r="H12" s="8">
        <f>G12*(1+H7)</f>
        <v/>
      </c>
      <c r="I12" s="8">
        <f>H12*(1+I7)</f>
        <v/>
      </c>
      <c r="J12" s="8">
        <f>I12*(1+J7)</f>
        <v/>
      </c>
      <c r="K12" s="8">
        <f>J12*(1+K7)</f>
        <v/>
      </c>
    </row>
    <row r="13" ht="15" customHeight="1" s="5">
      <c r="A13" s="4" t="inlineStr">
        <is>
          <t xml:space="preserve">  Diagnostics revenue</t>
        </is>
      </c>
      <c r="B13" s="7" t="n">
        <v>10.1</v>
      </c>
      <c r="C13" s="8">
        <f>B13*(1+C8)</f>
        <v/>
      </c>
      <c r="D13" s="8">
        <f>C13*(1+D8)</f>
        <v/>
      </c>
      <c r="E13" s="8">
        <f>D13*(1+E8)</f>
        <v/>
      </c>
      <c r="F13" s="8">
        <f>E13*(1+F8)</f>
        <v/>
      </c>
      <c r="G13" s="8">
        <f>E13*(1+G8)</f>
        <v/>
      </c>
      <c r="H13" s="8">
        <f>G13*(1+H8)</f>
        <v/>
      </c>
      <c r="I13" s="8">
        <f>H13*(1+I8)</f>
        <v/>
      </c>
      <c r="J13" s="8">
        <f>I13*(1+J8)</f>
        <v/>
      </c>
      <c r="K13" s="8">
        <f>J13*(1+K8)</f>
        <v/>
      </c>
    </row>
    <row r="14" ht="15" customHeight="1" s="5">
      <c r="A14" s="4" t="inlineStr">
        <is>
          <t>Total revenue</t>
        </is>
      </c>
      <c r="B14" s="8">
        <f>SUM(B11:B13)</f>
        <v/>
      </c>
      <c r="C14" s="8">
        <f>SUM(C11:C13)</f>
        <v/>
      </c>
      <c r="D14" s="8">
        <f>SUM(D11:D13)</f>
        <v/>
      </c>
      <c r="E14" s="8">
        <f>SUM(E11:E13)</f>
        <v/>
      </c>
      <c r="F14" s="8">
        <f>SUM(F11:F13)</f>
        <v/>
      </c>
      <c r="G14" s="8">
        <f>SUM(G11:G13)</f>
        <v/>
      </c>
      <c r="H14" s="8">
        <f>SUM(H11:H13)</f>
        <v/>
      </c>
      <c r="I14" s="8">
        <f>SUM(I11:I13)</f>
        <v/>
      </c>
      <c r="J14" s="8">
        <f>SUM(J11:J13)</f>
        <v/>
      </c>
      <c r="K14" s="8">
        <f>SUM(K11:K13)</f>
        <v/>
      </c>
    </row>
    <row r="15" ht="15" customHeight="1" s="5">
      <c r="A15" s="4" t="inlineStr">
        <is>
          <t xml:space="preserve">  Total YoY growth %</t>
        </is>
      </c>
      <c r="C15" s="8">
        <f>C14/B14-1</f>
        <v/>
      </c>
      <c r="D15" s="8">
        <f>D14/C14-1</f>
        <v/>
      </c>
      <c r="E15" s="8">
        <f>E14/D14-1</f>
        <v/>
      </c>
      <c r="F15" s="8">
        <f>F14/E14-1</f>
        <v/>
      </c>
      <c r="G15" s="8">
        <f>G14/F14-1</f>
        <v/>
      </c>
      <c r="H15" s="8">
        <f>H14/G14-1</f>
        <v/>
      </c>
      <c r="I15" s="8">
        <f>I14/H14-1</f>
        <v/>
      </c>
      <c r="J15" s="8">
        <f>J14/I14-1</f>
        <v/>
      </c>
      <c r="K15" s="8">
        <f>K14/J14-1</f>
        <v/>
      </c>
    </row>
    <row r="17" ht="15" customHeight="1" s="5">
      <c r="A17" s="4" t="inlineStr">
        <is>
          <t>MARGIN &amp; COST STRUCTURE</t>
        </is>
      </c>
    </row>
    <row r="18" ht="15" customHeight="1" s="5">
      <c r="A18" s="4" t="inlineStr">
        <is>
          <t xml:space="preserve">  Gross margin %</t>
        </is>
      </c>
      <c r="B18" s="7" t="n">
        <v>0.594</v>
      </c>
      <c r="C18" s="7" t="n">
        <v>0.588</v>
      </c>
      <c r="D18" s="7" t="n">
        <v>0.584</v>
      </c>
      <c r="E18" s="7" t="n">
        <v>0.589</v>
      </c>
      <c r="F18" s="7" t="n">
        <v>0.593</v>
      </c>
      <c r="G18" s="7" t="n">
        <v>0.594</v>
      </c>
      <c r="H18" s="7" t="n">
        <v>0.6</v>
      </c>
      <c r="I18" s="7" t="n">
        <v>0.605</v>
      </c>
      <c r="J18" s="7" t="n">
        <v>0.61</v>
      </c>
      <c r="K18" s="7" t="n">
        <v>0.613</v>
      </c>
    </row>
    <row r="19" ht="15" customHeight="1" s="5">
      <c r="A19" s="4" t="inlineStr">
        <is>
          <t xml:space="preserve">  SG&amp;A as % revenue</t>
        </is>
      </c>
      <c r="B19" s="7" t="n">
        <v>0.197</v>
      </c>
      <c r="C19" s="7" t="n">
        <v>0.204</v>
      </c>
      <c r="D19" s="7" t="n">
        <v>0.221</v>
      </c>
      <c r="E19" s="7" t="n">
        <v>0.228</v>
      </c>
      <c r="F19" s="7" t="n">
        <v>0.226</v>
      </c>
      <c r="G19" s="7" t="n">
        <v>0.221</v>
      </c>
      <c r="H19" s="7" t="n">
        <v>0.218</v>
      </c>
      <c r="I19" s="7" t="n">
        <v>0.217</v>
      </c>
      <c r="J19" s="7" t="n">
        <v>0.217</v>
      </c>
      <c r="K19" s="7" t="n">
        <v>0.215</v>
      </c>
    </row>
    <row r="20" ht="15" customHeight="1" s="5">
      <c r="A20" s="4" t="inlineStr">
        <is>
          <t xml:space="preserve">  R&amp;D as % revenue</t>
        </is>
      </c>
      <c r="B20" s="7" t="n">
        <v>0.063</v>
      </c>
      <c r="C20" s="7" t="n">
        <v>0.06900000000000001</v>
      </c>
      <c r="D20" s="7" t="n">
        <v>0.068</v>
      </c>
      <c r="E20" s="7" t="n">
        <v>0.067</v>
      </c>
      <c r="F20" s="7" t="n">
        <v>0.066</v>
      </c>
      <c r="G20" s="7" t="n">
        <v>0.064</v>
      </c>
      <c r="H20" s="7" t="n">
        <v>0.063</v>
      </c>
      <c r="I20" s="7" t="n">
        <v>0.061</v>
      </c>
      <c r="J20" s="7" t="n">
        <v>0.06</v>
      </c>
      <c r="K20" s="7" t="n">
        <v>0.059</v>
      </c>
    </row>
    <row r="21" ht="15" customHeight="1" s="5">
      <c r="A21" s="4" t="inlineStr">
        <is>
          <t xml:space="preserve">  EBITDA margin %</t>
        </is>
      </c>
      <c r="B21" s="9">
        <f>'3STMT_IS'!B22/'3STMT_IS'!B9</f>
        <v/>
      </c>
      <c r="C21" s="9">
        <f>'3STMT_IS'!C22/'3STMT_IS'!C9</f>
        <v/>
      </c>
      <c r="D21" s="9">
        <f>'3STMT_IS'!D22/'3STMT_IS'!D9</f>
        <v/>
      </c>
      <c r="E21" s="9">
        <f>'3STMT_IS'!E22/'3STMT_IS'!E9</f>
        <v/>
      </c>
      <c r="F21" s="9">
        <f>'3STMT_IS'!F22/'3STMT_IS'!F9</f>
        <v/>
      </c>
      <c r="G21" s="9">
        <f>'3STMT_IS'!G22/'3STMT_IS'!G9</f>
        <v/>
      </c>
      <c r="H21" s="9">
        <f>'3STMT_IS'!H22/'3STMT_IS'!H9</f>
        <v/>
      </c>
      <c r="I21" s="9">
        <f>'3STMT_IS'!I22/'3STMT_IS'!I9</f>
        <v/>
      </c>
      <c r="J21" s="9">
        <f>'3STMT_IS'!J22/'3STMT_IS'!J9</f>
        <v/>
      </c>
      <c r="K21" s="9">
        <f>'3STMT_IS'!K22/'3STMT_IS'!K9</f>
        <v/>
      </c>
    </row>
    <row r="22" ht="15" customHeight="1" s="5">
      <c r="A22" s="4" t="inlineStr">
        <is>
          <t xml:space="preserve">  D&amp;A as % revenue</t>
        </is>
      </c>
      <c r="B22" s="7" t="n">
        <v>0.048</v>
      </c>
      <c r="C22" s="7" t="n">
        <v>0.055</v>
      </c>
      <c r="D22" s="7" t="n">
        <v>0.058</v>
      </c>
      <c r="E22" s="7" t="n">
        <v>0.058</v>
      </c>
      <c r="F22" s="7" t="n">
        <v>0.057</v>
      </c>
      <c r="G22" s="7" t="n">
        <v>0.055</v>
      </c>
      <c r="H22" s="7" t="n">
        <v>0.053</v>
      </c>
      <c r="I22" s="7" t="n">
        <v>0.052</v>
      </c>
      <c r="J22" s="7" t="n">
        <v>0.051</v>
      </c>
      <c r="K22" s="7" t="n">
        <v>0.05</v>
      </c>
    </row>
    <row r="23" ht="15" customHeight="1" s="5">
      <c r="A23" s="4" t="inlineStr">
        <is>
          <t xml:space="preserve">  Stock-based comp % revenue</t>
        </is>
      </c>
      <c r="B23" s="7" t="n">
        <v>0.012</v>
      </c>
      <c r="C23" s="7" t="n">
        <v>0.013</v>
      </c>
      <c r="D23" s="7" t="n">
        <v>0.014</v>
      </c>
      <c r="E23" s="7" t="n">
        <v>0.014</v>
      </c>
      <c r="F23" s="7" t="n">
        <v>0.014</v>
      </c>
      <c r="G23" s="7" t="n">
        <v>0.014</v>
      </c>
      <c r="H23" s="7" t="n">
        <v>0.014</v>
      </c>
      <c r="I23" s="7" t="n">
        <v>0.013</v>
      </c>
      <c r="J23" s="7" t="n">
        <v>0.013</v>
      </c>
      <c r="K23" s="7" t="n">
        <v>0.012</v>
      </c>
    </row>
    <row r="25" ht="15" customHeight="1" s="5">
      <c r="A25" s="4" t="inlineStr">
        <is>
          <t>CAPEX &amp; WORKING CAPITAL DRIVERS</t>
        </is>
      </c>
    </row>
    <row r="26" ht="15" customHeight="1" s="5">
      <c r="A26" s="4" t="inlineStr">
        <is>
          <t xml:space="preserve">  CapEx as % revenue</t>
        </is>
      </c>
      <c r="B26" s="7" t="n">
        <v>0.028</v>
      </c>
      <c r="C26" s="7" t="n">
        <v>0.033</v>
      </c>
      <c r="D26" s="7" t="n">
        <v>0.035</v>
      </c>
      <c r="E26" s="7" t="n">
        <v>0.033</v>
      </c>
      <c r="F26" s="7" t="n">
        <v>0.032</v>
      </c>
      <c r="G26" s="7" t="n">
        <v>0.031</v>
      </c>
      <c r="H26" s="7" t="n">
        <v>0.03</v>
      </c>
      <c r="I26" s="7" t="n">
        <v>0.029</v>
      </c>
      <c r="J26" s="7" t="n">
        <v>0.028</v>
      </c>
      <c r="K26" s="7" t="n">
        <v>0.028</v>
      </c>
    </row>
    <row r="27" ht="15" customHeight="1" s="5">
      <c r="A27" s="4" t="inlineStr">
        <is>
          <t xml:space="preserve">  DSO (days)</t>
        </is>
      </c>
      <c r="B27" s="7" t="n">
        <v>62</v>
      </c>
      <c r="C27" s="7" t="n">
        <v>64</v>
      </c>
      <c r="D27" s="7" t="n">
        <v>65</v>
      </c>
      <c r="E27" s="7" t="n">
        <v>63</v>
      </c>
      <c r="F27" s="7" t="n">
        <v>62</v>
      </c>
      <c r="G27" s="7" t="n">
        <v>60</v>
      </c>
      <c r="H27" s="7" t="n">
        <v>58</v>
      </c>
      <c r="I27" s="7" t="n">
        <v>56</v>
      </c>
      <c r="J27" s="7" t="n">
        <v>55</v>
      </c>
      <c r="K27" s="7" t="n">
        <v>55</v>
      </c>
    </row>
    <row r="28" ht="15" customHeight="1" s="5">
      <c r="A28" s="4" t="inlineStr">
        <is>
          <t xml:space="preserve">  DIO (days)</t>
        </is>
      </c>
      <c r="B28" s="7" t="n">
        <v>78</v>
      </c>
      <c r="C28" s="7" t="n">
        <v>90</v>
      </c>
      <c r="D28" s="7" t="n">
        <v>95</v>
      </c>
      <c r="E28" s="7" t="n">
        <v>88</v>
      </c>
      <c r="F28" s="7" t="n">
        <v>85</v>
      </c>
      <c r="G28" s="7" t="n">
        <v>80</v>
      </c>
      <c r="H28" s="7" t="n">
        <v>75</v>
      </c>
      <c r="I28" s="7" t="n">
        <v>72</v>
      </c>
      <c r="J28" s="7" t="n">
        <v>70</v>
      </c>
      <c r="K28" s="7" t="n">
        <v>70</v>
      </c>
    </row>
    <row r="29" ht="15" customHeight="1" s="5">
      <c r="A29" s="4" t="inlineStr">
        <is>
          <t xml:space="preserve">  DPO (days)</t>
        </is>
      </c>
      <c r="B29" s="7" t="n">
        <v>55</v>
      </c>
      <c r="C29" s="7" t="n">
        <v>58</v>
      </c>
      <c r="D29" s="7" t="n">
        <v>60</v>
      </c>
      <c r="E29" s="7" t="n">
        <v>58</v>
      </c>
      <c r="F29" s="7" t="n">
        <v>58</v>
      </c>
      <c r="G29" s="7" t="n">
        <v>60</v>
      </c>
      <c r="H29" s="7" t="n">
        <v>62</v>
      </c>
      <c r="I29" s="7" t="n">
        <v>63</v>
      </c>
      <c r="J29" s="7" t="n">
        <v>63</v>
      </c>
      <c r="K29" s="7" t="n">
        <v>63</v>
      </c>
    </row>
    <row r="31" ht="15" customHeight="1" s="5">
      <c r="A31" s="4" t="inlineStr">
        <is>
          <t>TAX &amp; INTEREST</t>
        </is>
      </c>
    </row>
    <row r="32" ht="15" customHeight="1" s="5">
      <c r="A32" s="4" t="inlineStr">
        <is>
          <t xml:space="preserve">  Effective tax rate %</t>
        </is>
      </c>
      <c r="B32" s="7" t="n">
        <v>0.185</v>
      </c>
      <c r="C32" s="7" t="n">
        <v>0.19</v>
      </c>
      <c r="D32" s="7" t="n">
        <v>0.19</v>
      </c>
      <c r="E32" s="7" t="n">
        <v>0.19</v>
      </c>
      <c r="F32" s="7" t="n">
        <v>0.19</v>
      </c>
      <c r="G32" s="7" t="n">
        <v>0.2</v>
      </c>
      <c r="H32" s="7" t="n">
        <v>0.2</v>
      </c>
      <c r="I32" s="7" t="n">
        <v>0.21</v>
      </c>
      <c r="J32" s="7" t="n">
        <v>0.21</v>
      </c>
      <c r="K32" s="7" t="n">
        <v>0.21</v>
      </c>
    </row>
    <row r="33" ht="15" customHeight="1" s="5">
      <c r="A33" s="4" t="inlineStr">
        <is>
          <t xml:space="preserve">  Interest rate on gross debt %</t>
        </is>
      </c>
      <c r="B33" s="7" t="n">
        <v>0.032</v>
      </c>
      <c r="C33" s="7" t="n">
        <v>0.038</v>
      </c>
      <c r="D33" s="7" t="n">
        <v>0.041</v>
      </c>
      <c r="E33" s="7" t="n">
        <v>0.042</v>
      </c>
      <c r="F33" s="7" t="n">
        <v>0.042</v>
      </c>
      <c r="G33" s="7" t="n">
        <v>0.041</v>
      </c>
      <c r="H33" s="7" t="n">
        <v>0.04</v>
      </c>
      <c r="I33" s="7" t="n">
        <v>0.039</v>
      </c>
      <c r="J33" s="7" t="n">
        <v>0.038</v>
      </c>
      <c r="K33" s="7" t="n">
        <v>0.038</v>
      </c>
    </row>
    <row r="35" ht="15" customHeight="1" s="5">
      <c r="A35" s="4" t="inlineStr">
        <is>
          <t>CAPITAL RETURN &amp; SHARE COUNT</t>
        </is>
      </c>
    </row>
    <row r="36" ht="15" customHeight="1" s="5">
      <c r="A36" s="4" t="inlineStr">
        <is>
          <t xml:space="preserve">  Diluted shares (M)</t>
        </is>
      </c>
      <c r="B36" s="7" t="n">
        <v>735</v>
      </c>
      <c r="C36" s="7" t="n">
        <v>735</v>
      </c>
      <c r="D36" s="7" t="n">
        <v>735</v>
      </c>
      <c r="E36" s="7" t="n">
        <v>735</v>
      </c>
      <c r="F36" s="7" t="n">
        <v>735</v>
      </c>
      <c r="G36" s="7" t="n">
        <v>730</v>
      </c>
      <c r="H36" s="7" t="n">
        <v>723</v>
      </c>
      <c r="I36" s="7" t="n">
        <v>715</v>
      </c>
      <c r="J36" s="7" t="n">
        <v>707</v>
      </c>
      <c r="K36" s="7" t="n">
        <v>700</v>
      </c>
    </row>
    <row r="37" ht="15" customHeight="1" s="5">
      <c r="A37" s="4" t="inlineStr">
        <is>
          <t xml:space="preserve">  Dividend per share ($)</t>
        </is>
      </c>
      <c r="B37" s="7" t="n">
        <v>1.08</v>
      </c>
      <c r="C37" s="7" t="n">
        <v>1.12</v>
      </c>
      <c r="D37" s="7" t="n">
        <v>1.2</v>
      </c>
      <c r="E37" s="7" t="n">
        <v>1.28</v>
      </c>
      <c r="F37" s="7" t="n">
        <v>1.3</v>
      </c>
      <c r="G37" s="7" t="n">
        <v>1.36</v>
      </c>
      <c r="H37" s="7" t="n">
        <v>1.44</v>
      </c>
      <c r="I37" s="7" t="n">
        <v>1.52</v>
      </c>
      <c r="J37" s="7" t="n">
        <v>1.6</v>
      </c>
      <c r="K37" s="7" t="n">
        <v>1.68</v>
      </c>
    </row>
    <row r="38" ht="15" customHeight="1" s="5">
      <c r="A38" s="4" t="inlineStr">
        <is>
          <t xml:space="preserve">  Share buyback $B</t>
        </is>
      </c>
      <c r="B38" s="7" t="n">
        <v>0.5</v>
      </c>
      <c r="C38" s="7" t="n">
        <v>0.5</v>
      </c>
      <c r="D38" s="7" t="n">
        <v>1</v>
      </c>
      <c r="E38" s="7" t="n">
        <v>1.2</v>
      </c>
      <c r="F38" s="7" t="n">
        <v>1.3</v>
      </c>
      <c r="G38" s="7" t="n">
        <v>1.5</v>
      </c>
      <c r="H38" s="7" t="n">
        <v>2</v>
      </c>
      <c r="I38" s="7" t="n">
        <v>2.5</v>
      </c>
      <c r="J38" s="7" t="n">
        <v>2.5</v>
      </c>
      <c r="K38" s="7" t="n">
        <v>2.5</v>
      </c>
    </row>
    <row r="39" ht="15" customHeight="1" s="5">
      <c r="A39" s="4" t="inlineStr">
        <is>
          <t xml:space="preserve">  Acquisitions (net) $B</t>
        </is>
      </c>
      <c r="B39" s="7" t="n">
        <v>0.5</v>
      </c>
      <c r="C39" s="7" t="n">
        <v>0.3</v>
      </c>
      <c r="D39" s="7" t="n">
        <v>0.8</v>
      </c>
      <c r="E39" s="7" t="n">
        <v>1</v>
      </c>
      <c r="F39" s="7" t="n">
        <v>1</v>
      </c>
      <c r="G39" s="7" t="n">
        <v>1.5</v>
      </c>
      <c r="H39" s="7" t="n">
        <v>2</v>
      </c>
      <c r="I39" s="7" t="n">
        <v>2</v>
      </c>
      <c r="J39" s="7" t="n">
        <v>2</v>
      </c>
      <c r="K39" s="7" t="n">
        <v>2</v>
      </c>
    </row>
    <row r="41" ht="15" customHeight="1" s="5">
      <c r="A41" s="4" t="inlineStr">
        <is>
          <t>DEBT STRUCTURE (opening FY22 balances)</t>
        </is>
      </c>
    </row>
    <row r="42" ht="15" customHeight="1" s="5">
      <c r="A42" s="4" t="inlineStr">
        <is>
          <t xml:space="preserve">  Revolver opening $B</t>
        </is>
      </c>
      <c r="B42" s="7" t="n">
        <v>0</v>
      </c>
    </row>
    <row r="43" ht="15" customHeight="1" s="5">
      <c r="A43" s="4" t="inlineStr">
        <is>
          <t xml:space="preserve">  Term Loan A opening $B</t>
        </is>
      </c>
      <c r="B43" s="7" t="n">
        <v>4</v>
      </c>
    </row>
    <row r="44" ht="15" customHeight="1" s="5">
      <c r="A44" s="4" t="inlineStr">
        <is>
          <t xml:space="preserve">  Term Loan B opening $B</t>
        </is>
      </c>
      <c r="B44" s="7" t="n">
        <v>2.5</v>
      </c>
    </row>
    <row r="45" ht="15" customHeight="1" s="5">
      <c r="A45" s="4" t="inlineStr">
        <is>
          <t xml:space="preserve">  Senior notes opening $B</t>
        </is>
      </c>
      <c r="B45" s="7" t="n">
        <v>15</v>
      </c>
    </row>
    <row r="46" ht="15" customHeight="1" s="5">
      <c r="A46" s="4" t="inlineStr">
        <is>
          <t xml:space="preserve">  TLA scheduled amort % / yr</t>
        </is>
      </c>
      <c r="B46" s="7" t="n">
        <v>0.05</v>
      </c>
    </row>
    <row r="47" ht="15" customHeight="1" s="5">
      <c r="A47" s="4" t="inlineStr">
        <is>
          <t xml:space="preserve">  TLB scheduled amort % / yr</t>
        </is>
      </c>
      <c r="B47" s="7" t="n">
        <v>0.01</v>
      </c>
    </row>
    <row r="48" ht="15" customHeight="1" s="5">
      <c r="A48" s="4" t="inlineStr">
        <is>
          <t xml:space="preserve">  Cash sweep priority</t>
        </is>
      </c>
      <c r="B48" s="4" t="inlineStr">
        <is>
          <t>Revolver → TLA → TLB</t>
        </is>
      </c>
    </row>
    <row r="49" ht="15" customHeight="1" s="5">
      <c r="A49" s="4" t="inlineStr">
        <is>
          <t xml:space="preserve">  Min cash floor $B</t>
        </is>
      </c>
      <c r="B49" s="7" t="n">
        <v>1.5</v>
      </c>
    </row>
    <row r="51" ht="15" customHeight="1" s="5">
      <c r="A51" s="4" t="inlineStr">
        <is>
          <t>OPENING BALANCE SHEET (FY22 year-end)</t>
        </is>
      </c>
    </row>
    <row r="52" ht="15" customHeight="1" s="5">
      <c r="A52" s="4" t="inlineStr">
        <is>
          <t xml:space="preserve">  Cash &amp; equivalents FY22</t>
        </is>
      </c>
      <c r="B52" s="7" t="n">
        <v>6.1</v>
      </c>
    </row>
    <row r="53" ht="15" customHeight="1" s="5">
      <c r="A53" s="4" t="inlineStr">
        <is>
          <t xml:space="preserve">  PP&amp;E net FY22</t>
        </is>
      </c>
      <c r="B53" s="7" t="n">
        <v>6.5</v>
      </c>
    </row>
    <row r="54" ht="15" customHeight="1" s="5">
      <c r="A54" s="4" t="inlineStr">
        <is>
          <t xml:space="preserve">  Goodwill FY22</t>
        </is>
      </c>
      <c r="B54" s="7" t="n">
        <v>39.4</v>
      </c>
    </row>
    <row r="55" ht="15" customHeight="1" s="5">
      <c r="A55" s="4" t="inlineStr">
        <is>
          <t xml:space="preserve">  Intangibles net FY22</t>
        </is>
      </c>
      <c r="B55" s="7" t="n">
        <v>22.8</v>
      </c>
    </row>
    <row r="56" ht="15" customHeight="1" s="5">
      <c r="A56" s="4" t="inlineStr">
        <is>
          <t xml:space="preserve">  Other LT assets FY22</t>
        </is>
      </c>
      <c r="B56" s="7" t="n">
        <v>3.5</v>
      </c>
    </row>
    <row r="57" ht="15" customHeight="1" s="5">
      <c r="A57" s="4" t="inlineStr">
        <is>
          <t xml:space="preserve">  Other current assets FY22</t>
        </is>
      </c>
      <c r="B57" s="7" t="n">
        <v>1.8</v>
      </c>
    </row>
    <row r="58" ht="15" customHeight="1" s="5">
      <c r="A58" s="4" t="inlineStr">
        <is>
          <t xml:space="preserve">  Accrued expenses FY22</t>
        </is>
      </c>
      <c r="B58" s="7" t="n">
        <v>5.2</v>
      </c>
    </row>
    <row r="59" ht="15" customHeight="1" s="5">
      <c r="A59" s="4" t="inlineStr">
        <is>
          <t xml:space="preserve">  Other current liab FY22</t>
        </is>
      </c>
      <c r="B59" s="7" t="n">
        <v>2.4</v>
      </c>
    </row>
    <row r="60" ht="15" customHeight="1" s="5">
      <c r="A60" s="4" t="inlineStr">
        <is>
          <t xml:space="preserve">  Deferred tax liab FY22</t>
        </is>
      </c>
      <c r="B60" s="7" t="n">
        <v>4.5</v>
      </c>
    </row>
    <row r="61" ht="15" customHeight="1" s="5">
      <c r="A61" s="4" t="inlineStr">
        <is>
          <t xml:space="preserve">  Other LT liab FY22</t>
        </is>
      </c>
      <c r="B61" s="7" t="n">
        <v>2.1</v>
      </c>
    </row>
    <row r="62" ht="15" customHeight="1" s="5">
      <c r="A62" s="4" t="inlineStr">
        <is>
          <t xml:space="preserve">  Common stock FY22</t>
        </is>
      </c>
      <c r="B62" s="7" t="n">
        <v>5</v>
      </c>
    </row>
    <row r="63" ht="15" customHeight="1" s="5">
      <c r="A63" s="4" t="inlineStr">
        <is>
          <t xml:space="preserve">  Retained earnings FY22</t>
        </is>
      </c>
      <c r="B63" s="7" t="n">
        <v>42</v>
      </c>
    </row>
    <row r="64" ht="15" customHeight="1" s="5">
      <c r="A64" s="4" t="inlineStr">
        <is>
          <t xml:space="preserve">  Accumulated OCI FY22</t>
        </is>
      </c>
      <c r="B64" s="7" t="n">
        <v>-1.2</v>
      </c>
    </row>
  </sheetData>
  <mergeCells count="1">
    <mergeCell ref="A1:K1"/>
  </mergeCells>
  <printOptions horizontalCentered="1" verticalCentered="0" headings="0" gridLines="0" gridLinesSet="1"/>
  <pageMargins left="0.5" right="0.5" top="0.5" bottom="0.5" header="0.3" footer="0.3"/>
  <pageSetup orientation="landscape" paperSize="1" scale="100" fitToHeight="0" fitToWidth="1" pageOrder="downThenOver" blackAndWhite="0" draft="0" horizontalDpi="300" verticalDpi="300" copies="1"/>
  <headerFooter differentOddEven="0" differentFirst="0">
    <oddHeader>&amp;L&amp;8 &amp;K3C3F453STMT_ASSUMPTIONS&amp;C&amp;K0d27473STMT_ASSUMPTIONS&amp;R&amp;8 &amp;KC89000BARATELLI INSTITUTE  *  MENTORING AT SCALE</oddHeader>
    <oddFooter>&amp;L&amp;8 &amp;K3C3F45baratelliinstitute.com&amp;C&amp;8 &amp;K3C3F45Page &amp;P of &amp;N&amp;R&amp;8 &amp;K3C3F45Danaher Compounder 2026</oddFooter>
    <evenHeader/>
    <evenFooter/>
    <firstHeader/>
    <firstFooter/>
  </headerFooter>
</worksheet>
</file>

<file path=xl/worksheets/sheet24.xml><?xml version="1.0" encoding="utf-8"?>
<worksheet xmlns="http://schemas.openxmlformats.org/spreadsheetml/2006/main">
  <sheetPr filterMode="0">
    <outlinePr summaryBelow="1" summaryRight="1"/>
    <pageSetUpPr fitToPage="1"/>
  </sheetPr>
  <dimension ref="A1:K35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baseColWidth="8" defaultColWidth="8.6796875" defaultRowHeight="15" customHeight="0" zeroHeight="0" outlineLevelRow="0"/>
  <cols>
    <col width="40" customWidth="1" style="4" min="1" max="1"/>
    <col width="12" customWidth="1" style="4" min="2" max="11"/>
  </cols>
  <sheetData>
    <row r="1" ht="15" customHeight="1" s="5">
      <c r="A1" s="4" t="inlineStr">
        <is>
          <t>DANAHER — INCOME STATEMENT (HISTORIC + PROJECTION)</t>
        </is>
      </c>
    </row>
    <row r="3" ht="15" customHeight="1" s="5">
      <c r="A3" s="4" t="inlineStr">
        <is>
          <t>($B unless noted)</t>
        </is>
      </c>
      <c r="B3" s="4" t="inlineStr">
        <is>
          <t>FY22A</t>
        </is>
      </c>
      <c r="C3" s="4" t="inlineStr">
        <is>
          <t>FY23A</t>
        </is>
      </c>
      <c r="D3" s="4" t="inlineStr">
        <is>
          <t>FY24A</t>
        </is>
      </c>
      <c r="E3" s="4" t="inlineStr">
        <is>
          <t>FY25A</t>
        </is>
      </c>
      <c r="F3" s="4" t="inlineStr">
        <is>
          <t>LTM Q2'26</t>
        </is>
      </c>
      <c r="G3" s="4" t="inlineStr">
        <is>
          <t>FY26E</t>
        </is>
      </c>
      <c r="H3" s="4" t="inlineStr">
        <is>
          <t>FY27E</t>
        </is>
      </c>
      <c r="I3" s="4" t="inlineStr">
        <is>
          <t>FY28E</t>
        </is>
      </c>
      <c r="J3" s="4" t="inlineStr">
        <is>
          <t>FY29E</t>
        </is>
      </c>
      <c r="K3" s="4" t="inlineStr">
        <is>
          <t>FY30E</t>
        </is>
      </c>
    </row>
    <row r="5" ht="15" customHeight="1" s="5">
      <c r="A5" s="4" t="inlineStr">
        <is>
          <t>REVENUE</t>
        </is>
      </c>
    </row>
    <row r="6" ht="15" customHeight="1" s="5">
      <c r="A6" s="4" t="inlineStr">
        <is>
          <t xml:space="preserve">  Biotech</t>
        </is>
      </c>
      <c r="B6" s="9">
        <f>'3STMT_ASSUMPTIONS'!B11</f>
        <v/>
      </c>
      <c r="C6" s="9">
        <f>'3STMT_ASSUMPTIONS'!C11</f>
        <v/>
      </c>
      <c r="D6" s="9">
        <f>'3STMT_ASSUMPTIONS'!D11</f>
        <v/>
      </c>
      <c r="E6" s="9">
        <f>'3STMT_ASSUMPTIONS'!E11</f>
        <v/>
      </c>
      <c r="F6" s="9">
        <f>'3STMT_ASSUMPTIONS'!F11</f>
        <v/>
      </c>
      <c r="G6" s="9">
        <f>'3STMT_ASSUMPTIONS'!G11</f>
        <v/>
      </c>
      <c r="H6" s="9">
        <f>'3STMT_ASSUMPTIONS'!H11</f>
        <v/>
      </c>
      <c r="I6" s="9">
        <f>'3STMT_ASSUMPTIONS'!I11</f>
        <v/>
      </c>
      <c r="J6" s="9">
        <f>'3STMT_ASSUMPTIONS'!J11</f>
        <v/>
      </c>
      <c r="K6" s="9">
        <f>'3STMT_ASSUMPTIONS'!K11</f>
        <v/>
      </c>
    </row>
    <row r="7" ht="15" customHeight="1" s="5">
      <c r="A7" s="4" t="inlineStr">
        <is>
          <t xml:space="preserve">  Life Sciences</t>
        </is>
      </c>
      <c r="B7" s="9">
        <f>'3STMT_ASSUMPTIONS'!B12</f>
        <v/>
      </c>
      <c r="C7" s="9">
        <f>'3STMT_ASSUMPTIONS'!C12</f>
        <v/>
      </c>
      <c r="D7" s="9">
        <f>'3STMT_ASSUMPTIONS'!D12</f>
        <v/>
      </c>
      <c r="E7" s="9">
        <f>'3STMT_ASSUMPTIONS'!E12</f>
        <v/>
      </c>
      <c r="F7" s="9">
        <f>'3STMT_ASSUMPTIONS'!F12</f>
        <v/>
      </c>
      <c r="G7" s="9">
        <f>'3STMT_ASSUMPTIONS'!G12</f>
        <v/>
      </c>
      <c r="H7" s="9">
        <f>'3STMT_ASSUMPTIONS'!H12</f>
        <v/>
      </c>
      <c r="I7" s="9">
        <f>'3STMT_ASSUMPTIONS'!I12</f>
        <v/>
      </c>
      <c r="J7" s="9">
        <f>'3STMT_ASSUMPTIONS'!J12</f>
        <v/>
      </c>
      <c r="K7" s="9">
        <f>'3STMT_ASSUMPTIONS'!K12</f>
        <v/>
      </c>
    </row>
    <row r="8" ht="15" customHeight="1" s="5">
      <c r="A8" s="4" t="inlineStr">
        <is>
          <t xml:space="preserve">  Diagnostics</t>
        </is>
      </c>
      <c r="B8" s="9">
        <f>'3STMT_ASSUMPTIONS'!B13</f>
        <v/>
      </c>
      <c r="C8" s="9">
        <f>'3STMT_ASSUMPTIONS'!C13</f>
        <v/>
      </c>
      <c r="D8" s="9">
        <f>'3STMT_ASSUMPTIONS'!D13</f>
        <v/>
      </c>
      <c r="E8" s="9">
        <f>'3STMT_ASSUMPTIONS'!E13</f>
        <v/>
      </c>
      <c r="F8" s="9">
        <f>'3STMT_ASSUMPTIONS'!F13</f>
        <v/>
      </c>
      <c r="G8" s="9">
        <f>'3STMT_ASSUMPTIONS'!G13</f>
        <v/>
      </c>
      <c r="H8" s="9">
        <f>'3STMT_ASSUMPTIONS'!H13</f>
        <v/>
      </c>
      <c r="I8" s="9">
        <f>'3STMT_ASSUMPTIONS'!I13</f>
        <v/>
      </c>
      <c r="J8" s="9">
        <f>'3STMT_ASSUMPTIONS'!J13</f>
        <v/>
      </c>
      <c r="K8" s="9">
        <f>'3STMT_ASSUMPTIONS'!K13</f>
        <v/>
      </c>
    </row>
    <row r="9" ht="15" customHeight="1" s="5">
      <c r="A9" s="4" t="inlineStr">
        <is>
          <t>Total Revenue</t>
        </is>
      </c>
      <c r="B9" s="8">
        <f>SUM(B6:B8)</f>
        <v/>
      </c>
      <c r="C9" s="8">
        <f>SUM(C6:C8)</f>
        <v/>
      </c>
      <c r="D9" s="8">
        <f>SUM(D6:D8)</f>
        <v/>
      </c>
      <c r="E9" s="8">
        <f>SUM(E6:E8)</f>
        <v/>
      </c>
      <c r="F9" s="8">
        <f>SUM(F6:F8)</f>
        <v/>
      </c>
      <c r="G9" s="8">
        <f>SUM(G6:G8)</f>
        <v/>
      </c>
      <c r="H9" s="8">
        <f>SUM(H6:H8)</f>
        <v/>
      </c>
      <c r="I9" s="8">
        <f>SUM(I6:I8)</f>
        <v/>
      </c>
      <c r="J9" s="8">
        <f>SUM(J6:J8)</f>
        <v/>
      </c>
      <c r="K9" s="8">
        <f>SUM(K6:K8)</f>
        <v/>
      </c>
    </row>
    <row r="10" ht="15" customHeight="1" s="5">
      <c r="A10" s="4" t="inlineStr">
        <is>
          <t xml:space="preserve">  Total revenue growth %</t>
        </is>
      </c>
      <c r="C10" s="8">
        <f>C9/B9-1</f>
        <v/>
      </c>
      <c r="D10" s="8">
        <f>D9/C9-1</f>
        <v/>
      </c>
      <c r="E10" s="8">
        <f>E9/D9-1</f>
        <v/>
      </c>
      <c r="F10" s="8">
        <f>F9/E9-1</f>
        <v/>
      </c>
      <c r="G10" s="8">
        <f>G9/F9-1</f>
        <v/>
      </c>
      <c r="H10" s="8">
        <f>H9/G9-1</f>
        <v/>
      </c>
      <c r="I10" s="8">
        <f>I9/H9-1</f>
        <v/>
      </c>
      <c r="J10" s="8">
        <f>J9/I9-1</f>
        <v/>
      </c>
      <c r="K10" s="8">
        <f>K9/J9-1</f>
        <v/>
      </c>
    </row>
    <row r="12" ht="15" customHeight="1" s="5">
      <c r="A12" s="4" t="inlineStr">
        <is>
          <t>COSTS</t>
        </is>
      </c>
    </row>
    <row r="13" ht="15" customHeight="1" s="5">
      <c r="A13" s="4" t="inlineStr">
        <is>
          <t xml:space="preserve">  COGS</t>
        </is>
      </c>
      <c r="B13" s="9">
        <f>-B9*(1-'3STMT_ASSUMPTIONS'!B18)</f>
        <v/>
      </c>
      <c r="C13" s="9">
        <f>-C9*(1-'3STMT_ASSUMPTIONS'!C18)</f>
        <v/>
      </c>
      <c r="D13" s="9">
        <f>-D9*(1-'3STMT_ASSUMPTIONS'!D18)</f>
        <v/>
      </c>
      <c r="E13" s="9">
        <f>-E9*(1-'3STMT_ASSUMPTIONS'!E18)</f>
        <v/>
      </c>
      <c r="F13" s="9">
        <f>-F9*(1-'3STMT_ASSUMPTIONS'!F18)</f>
        <v/>
      </c>
      <c r="G13" s="9">
        <f>-G9*(1-'3STMT_ASSUMPTIONS'!G18)</f>
        <v/>
      </c>
      <c r="H13" s="9">
        <f>-H9*(1-'3STMT_ASSUMPTIONS'!H18)</f>
        <v/>
      </c>
      <c r="I13" s="9">
        <f>-I9*(1-'3STMT_ASSUMPTIONS'!I18)</f>
        <v/>
      </c>
      <c r="J13" s="9">
        <f>-J9*(1-'3STMT_ASSUMPTIONS'!J18)</f>
        <v/>
      </c>
      <c r="K13" s="9">
        <f>-K9*(1-'3STMT_ASSUMPTIONS'!K18)</f>
        <v/>
      </c>
    </row>
    <row r="14" ht="15" customHeight="1" s="5">
      <c r="A14" s="4" t="inlineStr">
        <is>
          <t>Gross Profit</t>
        </is>
      </c>
      <c r="B14" s="8">
        <f>B9+B13</f>
        <v/>
      </c>
      <c r="C14" s="8">
        <f>C9+C13</f>
        <v/>
      </c>
      <c r="D14" s="8">
        <f>D9+D13</f>
        <v/>
      </c>
      <c r="E14" s="8">
        <f>E9+E13</f>
        <v/>
      </c>
      <c r="F14" s="8">
        <f>F9+F13</f>
        <v/>
      </c>
      <c r="G14" s="8">
        <f>G9+G13</f>
        <v/>
      </c>
      <c r="H14" s="8">
        <f>H9+H13</f>
        <v/>
      </c>
      <c r="I14" s="8">
        <f>I9+I13</f>
        <v/>
      </c>
      <c r="J14" s="8">
        <f>J9+J13</f>
        <v/>
      </c>
      <c r="K14" s="8">
        <f>K9+K13</f>
        <v/>
      </c>
    </row>
    <row r="15" ht="15" customHeight="1" s="5">
      <c r="A15" s="4" t="inlineStr">
        <is>
          <t xml:space="preserve">  Gross margin %</t>
        </is>
      </c>
      <c r="B15" s="8">
        <f>B14/B9</f>
        <v/>
      </c>
      <c r="C15" s="8">
        <f>C14/C9</f>
        <v/>
      </c>
      <c r="D15" s="8">
        <f>D14/D9</f>
        <v/>
      </c>
      <c r="E15" s="8">
        <f>E14/E9</f>
        <v/>
      </c>
      <c r="F15" s="8">
        <f>F14/F9</f>
        <v/>
      </c>
      <c r="G15" s="8">
        <f>G14/G9</f>
        <v/>
      </c>
      <c r="H15" s="8">
        <f>H14/H9</f>
        <v/>
      </c>
      <c r="I15" s="8">
        <f>I14/I9</f>
        <v/>
      </c>
      <c r="J15" s="8">
        <f>J14/J9</f>
        <v/>
      </c>
      <c r="K15" s="8">
        <f>K14/K9</f>
        <v/>
      </c>
    </row>
    <row r="16" ht="15" customHeight="1" s="5">
      <c r="A16" s="4" t="inlineStr">
        <is>
          <t xml:space="preserve">  SG&amp;A</t>
        </is>
      </c>
      <c r="B16" s="9">
        <f>-B9*'3STMT_ASSUMPTIONS'!B19</f>
        <v/>
      </c>
      <c r="C16" s="9">
        <f>-C9*'3STMT_ASSUMPTIONS'!C19</f>
        <v/>
      </c>
      <c r="D16" s="9">
        <f>-D9*'3STMT_ASSUMPTIONS'!D19</f>
        <v/>
      </c>
      <c r="E16" s="9">
        <f>-E9*'3STMT_ASSUMPTIONS'!E19</f>
        <v/>
      </c>
      <c r="F16" s="9">
        <f>-F9*'3STMT_ASSUMPTIONS'!F19</f>
        <v/>
      </c>
      <c r="G16" s="9">
        <f>-G9*'3STMT_ASSUMPTIONS'!G19</f>
        <v/>
      </c>
      <c r="H16" s="9">
        <f>-H9*'3STMT_ASSUMPTIONS'!H19</f>
        <v/>
      </c>
      <c r="I16" s="9">
        <f>-I9*'3STMT_ASSUMPTIONS'!I19</f>
        <v/>
      </c>
      <c r="J16" s="9">
        <f>-J9*'3STMT_ASSUMPTIONS'!J19</f>
        <v/>
      </c>
      <c r="K16" s="9">
        <f>-K9*'3STMT_ASSUMPTIONS'!K19</f>
        <v/>
      </c>
    </row>
    <row r="17" ht="15" customHeight="1" s="5">
      <c r="A17" s="4" t="inlineStr">
        <is>
          <t xml:space="preserve">  SG&amp;A % of revenue</t>
        </is>
      </c>
      <c r="B17" s="8">
        <f>-B16/B9</f>
        <v/>
      </c>
      <c r="C17" s="8">
        <f>-C16/C9</f>
        <v/>
      </c>
      <c r="D17" s="8">
        <f>-D16/D9</f>
        <v/>
      </c>
      <c r="E17" s="8">
        <f>-E16/E9</f>
        <v/>
      </c>
      <c r="F17" s="8">
        <f>-F16/F9</f>
        <v/>
      </c>
      <c r="G17" s="8">
        <f>-G16/G9</f>
        <v/>
      </c>
      <c r="H17" s="8">
        <f>-H16/H9</f>
        <v/>
      </c>
      <c r="I17" s="8">
        <f>-I16/I9</f>
        <v/>
      </c>
      <c r="J17" s="8">
        <f>-J16/J9</f>
        <v/>
      </c>
      <c r="K17" s="8">
        <f>-K16/K9</f>
        <v/>
      </c>
    </row>
    <row r="18" ht="15" customHeight="1" s="5">
      <c r="A18" s="4" t="inlineStr">
        <is>
          <t xml:space="preserve">  R&amp;D</t>
        </is>
      </c>
      <c r="B18" s="9">
        <f>-B9*'3STMT_ASSUMPTIONS'!B20</f>
        <v/>
      </c>
      <c r="C18" s="9">
        <f>-C9*'3STMT_ASSUMPTIONS'!C20</f>
        <v/>
      </c>
      <c r="D18" s="9">
        <f>-D9*'3STMT_ASSUMPTIONS'!D20</f>
        <v/>
      </c>
      <c r="E18" s="9">
        <f>-E9*'3STMT_ASSUMPTIONS'!E20</f>
        <v/>
      </c>
      <c r="F18" s="9">
        <f>-F9*'3STMT_ASSUMPTIONS'!F20</f>
        <v/>
      </c>
      <c r="G18" s="9">
        <f>-G9*'3STMT_ASSUMPTIONS'!G20</f>
        <v/>
      </c>
      <c r="H18" s="9">
        <f>-H9*'3STMT_ASSUMPTIONS'!H20</f>
        <v/>
      </c>
      <c r="I18" s="9">
        <f>-I9*'3STMT_ASSUMPTIONS'!I20</f>
        <v/>
      </c>
      <c r="J18" s="9">
        <f>-J9*'3STMT_ASSUMPTIONS'!J20</f>
        <v/>
      </c>
      <c r="K18" s="9">
        <f>-K9*'3STMT_ASSUMPTIONS'!K20</f>
        <v/>
      </c>
    </row>
    <row r="19" ht="15" customHeight="1" s="5">
      <c r="A19" s="4" t="inlineStr">
        <is>
          <t xml:space="preserve">  R&amp;D % of revenue</t>
        </is>
      </c>
      <c r="B19" s="8">
        <f>-B18/B9</f>
        <v/>
      </c>
      <c r="C19" s="8">
        <f>-C18/C9</f>
        <v/>
      </c>
      <c r="D19" s="8">
        <f>-D18/D9</f>
        <v/>
      </c>
      <c r="E19" s="8">
        <f>-E18/E9</f>
        <v/>
      </c>
      <c r="F19" s="8">
        <f>-F18/F9</f>
        <v/>
      </c>
      <c r="G19" s="8">
        <f>-G18/G9</f>
        <v/>
      </c>
      <c r="H19" s="8">
        <f>-H18/H9</f>
        <v/>
      </c>
      <c r="I19" s="8">
        <f>-I18/I9</f>
        <v/>
      </c>
      <c r="J19" s="8">
        <f>-J18/J9</f>
        <v/>
      </c>
      <c r="K19" s="8">
        <f>-K18/K9</f>
        <v/>
      </c>
    </row>
    <row r="21" ht="15" customHeight="1" s="5">
      <c r="A21" s="4" t="inlineStr">
        <is>
          <t>PROFITABILITY</t>
        </is>
      </c>
    </row>
    <row r="22" ht="15" customHeight="1" s="5">
      <c r="A22" s="4" t="inlineStr">
        <is>
          <t>Adjusted EBITDA</t>
        </is>
      </c>
      <c r="B22" s="8">
        <f>B14+B16+B18</f>
        <v/>
      </c>
      <c r="C22" s="8">
        <f>C14+C16+C18</f>
        <v/>
      </c>
      <c r="D22" s="8">
        <f>D14+D16+D18</f>
        <v/>
      </c>
      <c r="E22" s="8">
        <f>E14+E16+E18</f>
        <v/>
      </c>
      <c r="F22" s="8">
        <f>F14+F16+F18</f>
        <v/>
      </c>
      <c r="G22" s="8">
        <f>G14+G16+G18</f>
        <v/>
      </c>
      <c r="H22" s="8">
        <f>H14+H16+H18</f>
        <v/>
      </c>
      <c r="I22" s="8">
        <f>I14+I16+I18</f>
        <v/>
      </c>
      <c r="J22" s="8">
        <f>J14+J16+J18</f>
        <v/>
      </c>
      <c r="K22" s="8">
        <f>K14+K16+K18</f>
        <v/>
      </c>
    </row>
    <row r="23" ht="15" customHeight="1" s="5">
      <c r="A23" s="4" t="inlineStr">
        <is>
          <t xml:space="preserve">  EBITDA margin %</t>
        </is>
      </c>
      <c r="B23" s="8">
        <f>B22/B9</f>
        <v/>
      </c>
      <c r="C23" s="8">
        <f>C22/C9</f>
        <v/>
      </c>
      <c r="D23" s="8">
        <f>D22/D9</f>
        <v/>
      </c>
      <c r="E23" s="8">
        <f>E22/E9</f>
        <v/>
      </c>
      <c r="F23" s="8">
        <f>F22/F9</f>
        <v/>
      </c>
      <c r="G23" s="8">
        <f>G22/G9</f>
        <v/>
      </c>
      <c r="H23" s="8">
        <f>H22/H9</f>
        <v/>
      </c>
      <c r="I23" s="8">
        <f>I22/I9</f>
        <v/>
      </c>
      <c r="J23" s="8">
        <f>J22/J9</f>
        <v/>
      </c>
      <c r="K23" s="8">
        <f>K22/K9</f>
        <v/>
      </c>
    </row>
    <row r="24" ht="15" customHeight="1" s="5">
      <c r="A24" s="4" t="inlineStr">
        <is>
          <t xml:space="preserve">  D&amp;A</t>
        </is>
      </c>
      <c r="B24" s="9">
        <f>-B9*'3STMT_ASSUMPTIONS'!B22</f>
        <v/>
      </c>
      <c r="C24" s="9">
        <f>-C9*'3STMT_ASSUMPTIONS'!C22</f>
        <v/>
      </c>
      <c r="D24" s="9">
        <f>-D9*'3STMT_ASSUMPTIONS'!D22</f>
        <v/>
      </c>
      <c r="E24" s="9">
        <f>-E9*'3STMT_ASSUMPTIONS'!E22</f>
        <v/>
      </c>
      <c r="F24" s="9">
        <f>-F9*'3STMT_ASSUMPTIONS'!F22</f>
        <v/>
      </c>
      <c r="G24" s="9">
        <f>-G9*'3STMT_ASSUMPTIONS'!G22</f>
        <v/>
      </c>
      <c r="H24" s="9">
        <f>-H9*'3STMT_ASSUMPTIONS'!H22</f>
        <v/>
      </c>
      <c r="I24" s="9">
        <f>-I9*'3STMT_ASSUMPTIONS'!I22</f>
        <v/>
      </c>
      <c r="J24" s="9">
        <f>-J9*'3STMT_ASSUMPTIONS'!J22</f>
        <v/>
      </c>
      <c r="K24" s="9">
        <f>-K9*'3STMT_ASSUMPTIONS'!K22</f>
        <v/>
      </c>
    </row>
    <row r="25" ht="15" customHeight="1" s="5">
      <c r="A25" s="4" t="inlineStr">
        <is>
          <t>Adjusted EBIT</t>
        </is>
      </c>
      <c r="B25" s="8">
        <f>B22+B24</f>
        <v/>
      </c>
      <c r="C25" s="8">
        <f>C22+C24</f>
        <v/>
      </c>
      <c r="D25" s="8">
        <f>D22+D24</f>
        <v/>
      </c>
      <c r="E25" s="8">
        <f>E22+E24</f>
        <v/>
      </c>
      <c r="F25" s="8">
        <f>F22+F24</f>
        <v/>
      </c>
      <c r="G25" s="8">
        <f>G22+G24</f>
        <v/>
      </c>
      <c r="H25" s="8">
        <f>H22+H24</f>
        <v/>
      </c>
      <c r="I25" s="8">
        <f>I22+I24</f>
        <v/>
      </c>
      <c r="J25" s="8">
        <f>J22+J24</f>
        <v/>
      </c>
      <c r="K25" s="8">
        <f>K22+K24</f>
        <v/>
      </c>
    </row>
    <row r="26" ht="15" customHeight="1" s="5">
      <c r="A26" s="4" t="inlineStr">
        <is>
          <t xml:space="preserve">  EBIT margin %</t>
        </is>
      </c>
      <c r="B26" s="8">
        <f>B25/B9</f>
        <v/>
      </c>
      <c r="C26" s="8">
        <f>C25/C9</f>
        <v/>
      </c>
      <c r="D26" s="8">
        <f>D25/D9</f>
        <v/>
      </c>
      <c r="E26" s="8">
        <f>E25/E9</f>
        <v/>
      </c>
      <c r="F26" s="8">
        <f>F25/F9</f>
        <v/>
      </c>
      <c r="G26" s="8">
        <f>G25/G9</f>
        <v/>
      </c>
      <c r="H26" s="8">
        <f>H25/H9</f>
        <v/>
      </c>
      <c r="I26" s="8">
        <f>I25/I9</f>
        <v/>
      </c>
      <c r="J26" s="8">
        <f>J25/J9</f>
        <v/>
      </c>
      <c r="K26" s="8">
        <f>K25/K9</f>
        <v/>
      </c>
    </row>
    <row r="27" ht="15" customHeight="1" s="5">
      <c r="A27" s="4" t="inlineStr">
        <is>
          <t xml:space="preserve">  Net Interest Expense (from Debt Schedule)</t>
        </is>
      </c>
      <c r="B27" s="7" t="n">
        <v>-0.5</v>
      </c>
      <c r="C27" s="7" t="n">
        <v>-0.55</v>
      </c>
      <c r="D27" s="7" t="n">
        <v>-0.6</v>
      </c>
      <c r="E27" s="7" t="n">
        <v>-0.62</v>
      </c>
      <c r="F27" s="7" t="n">
        <v>-0.62</v>
      </c>
      <c r="G27" s="9">
        <f>-'3STMT_DEBT'!G34</f>
        <v/>
      </c>
      <c r="H27" s="9">
        <f>-'3STMT_DEBT'!H34</f>
        <v/>
      </c>
      <c r="I27" s="9">
        <f>-'3STMT_DEBT'!I34</f>
        <v/>
      </c>
      <c r="J27" s="9">
        <f>-'3STMT_DEBT'!J34</f>
        <v/>
      </c>
      <c r="K27" s="9">
        <f>-'3STMT_DEBT'!K34</f>
        <v/>
      </c>
    </row>
    <row r="28" ht="15" customHeight="1" s="5">
      <c r="A28" s="4" t="inlineStr">
        <is>
          <t>Adjusted Pre-tax Income</t>
        </is>
      </c>
      <c r="B28" s="8">
        <f>B25+B27</f>
        <v/>
      </c>
      <c r="C28" s="8">
        <f>C25+C27</f>
        <v/>
      </c>
      <c r="D28" s="8">
        <f>D25+D27</f>
        <v/>
      </c>
      <c r="E28" s="8">
        <f>E25+E27</f>
        <v/>
      </c>
      <c r="F28" s="8">
        <f>F25+F27</f>
        <v/>
      </c>
      <c r="G28" s="8">
        <f>G25+G27</f>
        <v/>
      </c>
      <c r="H28" s="8">
        <f>H25+H27</f>
        <v/>
      </c>
      <c r="I28" s="8">
        <f>I25+I27</f>
        <v/>
      </c>
      <c r="J28" s="8">
        <f>J25+J27</f>
        <v/>
      </c>
      <c r="K28" s="8">
        <f>K25+K27</f>
        <v/>
      </c>
    </row>
    <row r="29" ht="15" customHeight="1" s="5">
      <c r="A29" s="4" t="inlineStr">
        <is>
          <t xml:space="preserve">  Cash Taxes</t>
        </is>
      </c>
      <c r="B29" s="9">
        <f>-B28*'3STMT_ASSUMPTIONS'!B32</f>
        <v/>
      </c>
      <c r="C29" s="9">
        <f>-C28*'3STMT_ASSUMPTIONS'!C32</f>
        <v/>
      </c>
      <c r="D29" s="9">
        <f>-D28*'3STMT_ASSUMPTIONS'!D32</f>
        <v/>
      </c>
      <c r="E29" s="9">
        <f>-E28*'3STMT_ASSUMPTIONS'!E32</f>
        <v/>
      </c>
      <c r="F29" s="9">
        <f>-F28*'3STMT_ASSUMPTIONS'!F32</f>
        <v/>
      </c>
      <c r="G29" s="9">
        <f>-G28*'3STMT_ASSUMPTIONS'!G32</f>
        <v/>
      </c>
      <c r="H29" s="9">
        <f>-H28*'3STMT_ASSUMPTIONS'!H32</f>
        <v/>
      </c>
      <c r="I29" s="9">
        <f>-I28*'3STMT_ASSUMPTIONS'!I32</f>
        <v/>
      </c>
      <c r="J29" s="9">
        <f>-J28*'3STMT_ASSUMPTIONS'!J32</f>
        <v/>
      </c>
      <c r="K29" s="9">
        <f>-K28*'3STMT_ASSUMPTIONS'!K32</f>
        <v/>
      </c>
    </row>
    <row r="30" ht="15" customHeight="1" s="5">
      <c r="A30" s="4" t="inlineStr">
        <is>
          <t>Adjusted Net Income</t>
        </is>
      </c>
      <c r="B30" s="8">
        <f>B28+B29</f>
        <v/>
      </c>
      <c r="C30" s="8">
        <f>C28+C29</f>
        <v/>
      </c>
      <c r="D30" s="8">
        <f>D28+D29</f>
        <v/>
      </c>
      <c r="E30" s="8">
        <f>E28+E29</f>
        <v/>
      </c>
      <c r="F30" s="8">
        <f>F28+F29</f>
        <v/>
      </c>
      <c r="G30" s="8">
        <f>G28+G29</f>
        <v/>
      </c>
      <c r="H30" s="8">
        <f>H28+H29</f>
        <v/>
      </c>
      <c r="I30" s="8">
        <f>I28+I29</f>
        <v/>
      </c>
      <c r="J30" s="8">
        <f>J28+J29</f>
        <v/>
      </c>
      <c r="K30" s="8">
        <f>K28+K29</f>
        <v/>
      </c>
    </row>
    <row r="32" ht="15" customHeight="1" s="5">
      <c r="A32" s="4" t="inlineStr">
        <is>
          <t>PER SHARE</t>
        </is>
      </c>
    </row>
    <row r="33" ht="15" customHeight="1" s="5">
      <c r="A33" s="4" t="inlineStr">
        <is>
          <t xml:space="preserve">  Diluted shares (M)</t>
        </is>
      </c>
      <c r="B33" s="9">
        <f>'3STMT_ASSUMPTIONS'!B36</f>
        <v/>
      </c>
      <c r="C33" s="9">
        <f>'3STMT_ASSUMPTIONS'!C36</f>
        <v/>
      </c>
      <c r="D33" s="9">
        <f>'3STMT_ASSUMPTIONS'!D36</f>
        <v/>
      </c>
      <c r="E33" s="9">
        <f>'3STMT_ASSUMPTIONS'!E36</f>
        <v/>
      </c>
      <c r="F33" s="9">
        <f>'3STMT_ASSUMPTIONS'!F36</f>
        <v/>
      </c>
      <c r="G33" s="9">
        <f>'3STMT_ASSUMPTIONS'!G36</f>
        <v/>
      </c>
      <c r="H33" s="9">
        <f>'3STMT_ASSUMPTIONS'!H36</f>
        <v/>
      </c>
      <c r="I33" s="9">
        <f>'3STMT_ASSUMPTIONS'!I36</f>
        <v/>
      </c>
      <c r="J33" s="9">
        <f>'3STMT_ASSUMPTIONS'!J36</f>
        <v/>
      </c>
      <c r="K33" s="9">
        <f>'3STMT_ASSUMPTIONS'!K36</f>
        <v/>
      </c>
    </row>
    <row r="34" ht="15" customHeight="1" s="5">
      <c r="A34" s="4" t="inlineStr">
        <is>
          <t>Adjusted EPS ($)</t>
        </is>
      </c>
      <c r="B34" s="8">
        <f>B30*1000/B33</f>
        <v/>
      </c>
      <c r="C34" s="8">
        <f>C30*1000/C33</f>
        <v/>
      </c>
      <c r="D34" s="8">
        <f>D30*1000/D33</f>
        <v/>
      </c>
      <c r="E34" s="8">
        <f>E30*1000/E33</f>
        <v/>
      </c>
      <c r="F34" s="8">
        <f>F30*1000/F33</f>
        <v/>
      </c>
      <c r="G34" s="8">
        <f>G30*1000/G33</f>
        <v/>
      </c>
      <c r="H34" s="8">
        <f>H30*1000/H33</f>
        <v/>
      </c>
      <c r="I34" s="8">
        <f>I30*1000/I33</f>
        <v/>
      </c>
      <c r="J34" s="8">
        <f>J30*1000/J33</f>
        <v/>
      </c>
      <c r="K34" s="8">
        <f>K30*1000/K33</f>
        <v/>
      </c>
    </row>
    <row r="35" ht="15" customHeight="1" s="5">
      <c r="A35" s="4" t="inlineStr">
        <is>
          <t xml:space="preserve">  EPS growth %</t>
        </is>
      </c>
      <c r="C35" s="8">
        <f>C34/B34-1</f>
        <v/>
      </c>
      <c r="D35" s="8">
        <f>D34/C34-1</f>
        <v/>
      </c>
      <c r="E35" s="8">
        <f>E34/D34-1</f>
        <v/>
      </c>
      <c r="F35" s="8">
        <f>F34/E34-1</f>
        <v/>
      </c>
      <c r="G35" s="8">
        <f>G34/F34-1</f>
        <v/>
      </c>
      <c r="H35" s="8">
        <f>H34/G34-1</f>
        <v/>
      </c>
      <c r="I35" s="8">
        <f>I34/H34-1</f>
        <v/>
      </c>
      <c r="J35" s="8">
        <f>J34/I34-1</f>
        <v/>
      </c>
      <c r="K35" s="8">
        <f>K34/J34-1</f>
        <v/>
      </c>
    </row>
  </sheetData>
  <mergeCells count="1">
    <mergeCell ref="A1:K1"/>
  </mergeCells>
  <printOptions horizontalCentered="1" verticalCentered="0" headings="0" gridLines="0" gridLinesSet="1"/>
  <pageMargins left="0.5" right="0.5" top="0.5" bottom="0.5" header="0.3" footer="0.3"/>
  <pageSetup orientation="landscape" paperSize="1" scale="100" fitToHeight="0" fitToWidth="1" pageOrder="downThenOver" blackAndWhite="0" draft="0" horizontalDpi="300" verticalDpi="300" copies="1"/>
  <headerFooter differentOddEven="0" differentFirst="0">
    <oddHeader>&amp;L&amp;8 &amp;K3C3F453STMT_IS&amp;C&amp;K0d27473STMT_IS&amp;R&amp;8 &amp;KC89000BARATELLI INSTITUTE  *  MENTORING AT SCALE</oddHeader>
    <oddFooter>&amp;L&amp;8 &amp;K3C3F45baratelliinstitute.com&amp;C&amp;8 &amp;K3C3F45Page &amp;P of &amp;N&amp;R&amp;8 &amp;K3C3F45Danaher Compounder 2026</oddFooter>
    <evenHeader/>
    <evenFooter/>
    <firstHeader/>
    <firstFooter/>
  </headerFooter>
</worksheet>
</file>

<file path=xl/worksheets/sheet25.xml><?xml version="1.0" encoding="utf-8"?>
<worksheet xmlns="http://schemas.openxmlformats.org/spreadsheetml/2006/main">
  <sheetPr filterMode="0">
    <outlinePr summaryBelow="1" summaryRight="1"/>
    <pageSetUpPr fitToPage="1"/>
  </sheetPr>
  <dimension ref="A1:K38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baseColWidth="8" defaultColWidth="8.6796875" defaultRowHeight="15" customHeight="0" zeroHeight="0" outlineLevelRow="0"/>
  <cols>
    <col width="40" customWidth="1" style="4" min="1" max="1"/>
    <col width="12" customWidth="1" style="4" min="2" max="11"/>
  </cols>
  <sheetData>
    <row r="1" ht="15" customHeight="1" s="5">
      <c r="A1" s="4" t="inlineStr">
        <is>
          <t>DANAHER — BALANCE SHEET (HISTORIC + PROJECTION)</t>
        </is>
      </c>
    </row>
    <row r="3" ht="15" customHeight="1" s="5">
      <c r="A3" s="4" t="inlineStr">
        <is>
          <t>($B unless noted)</t>
        </is>
      </c>
      <c r="B3" s="4" t="inlineStr">
        <is>
          <t>FY22A</t>
        </is>
      </c>
      <c r="C3" s="4" t="inlineStr">
        <is>
          <t>FY23A</t>
        </is>
      </c>
      <c r="D3" s="4" t="inlineStr">
        <is>
          <t>FY24A</t>
        </is>
      </c>
      <c r="E3" s="4" t="inlineStr">
        <is>
          <t>FY25A</t>
        </is>
      </c>
      <c r="F3" s="4" t="inlineStr">
        <is>
          <t>LTM Q2'26</t>
        </is>
      </c>
      <c r="G3" s="4" t="inlineStr">
        <is>
          <t>FY26E</t>
        </is>
      </c>
      <c r="H3" s="4" t="inlineStr">
        <is>
          <t>FY27E</t>
        </is>
      </c>
      <c r="I3" s="4" t="inlineStr">
        <is>
          <t>FY28E</t>
        </is>
      </c>
      <c r="J3" s="4" t="inlineStr">
        <is>
          <t>FY29E</t>
        </is>
      </c>
      <c r="K3" s="4" t="inlineStr">
        <is>
          <t>FY30E</t>
        </is>
      </c>
    </row>
    <row r="5" ht="15" customHeight="1" s="5">
      <c r="A5" s="4" t="inlineStr">
        <is>
          <t>ASSETS</t>
        </is>
      </c>
    </row>
    <row r="6" ht="15" customHeight="1" s="5">
      <c r="A6" s="4" t="inlineStr">
        <is>
          <t xml:space="preserve">  Cash &amp; Equivalents</t>
        </is>
      </c>
      <c r="B6" s="7" t="n">
        <v>6.1</v>
      </c>
      <c r="C6" s="7" t="n">
        <v>5.9</v>
      </c>
      <c r="D6" s="7" t="n">
        <v>5.5</v>
      </c>
      <c r="E6" s="7" t="n">
        <v>5.8</v>
      </c>
      <c r="F6" s="7" t="n">
        <v>6</v>
      </c>
      <c r="G6" s="9">
        <f>'3STMT_CF'!G32</f>
        <v/>
      </c>
      <c r="H6" s="9">
        <f>'3STMT_CF'!H32</f>
        <v/>
      </c>
      <c r="I6" s="9">
        <f>'3STMT_CF'!I32</f>
        <v/>
      </c>
      <c r="J6" s="9">
        <f>'3STMT_CF'!J32</f>
        <v/>
      </c>
      <c r="K6" s="9">
        <f>'3STMT_CF'!K32</f>
        <v/>
      </c>
    </row>
    <row r="7" ht="15" customHeight="1" s="5">
      <c r="A7" s="4" t="inlineStr">
        <is>
          <t xml:space="preserve">  Accounts Receivable</t>
        </is>
      </c>
      <c r="B7" s="9">
        <f>'3STMT_ASSUMPTIONS'!B27*'3STMT_IS'!B9/365</f>
        <v/>
      </c>
      <c r="C7" s="9">
        <f>'3STMT_ASSUMPTIONS'!C27*'3STMT_IS'!C9/365</f>
        <v/>
      </c>
      <c r="D7" s="9">
        <f>'3STMT_ASSUMPTIONS'!D27*'3STMT_IS'!D9/365</f>
        <v/>
      </c>
      <c r="E7" s="9">
        <f>'3STMT_ASSUMPTIONS'!E27*'3STMT_IS'!E9/365</f>
        <v/>
      </c>
      <c r="F7" s="9">
        <f>'3STMT_ASSUMPTIONS'!F27*'3STMT_IS'!F9/365</f>
        <v/>
      </c>
      <c r="G7" s="9">
        <f>'3STMT_ASSUMPTIONS'!G27*'3STMT_IS'!G9/365</f>
        <v/>
      </c>
      <c r="H7" s="9">
        <f>'3STMT_ASSUMPTIONS'!H27*'3STMT_IS'!H9/365</f>
        <v/>
      </c>
      <c r="I7" s="9">
        <f>'3STMT_ASSUMPTIONS'!I27*'3STMT_IS'!I9/365</f>
        <v/>
      </c>
      <c r="J7" s="9">
        <f>'3STMT_ASSUMPTIONS'!J27*'3STMT_IS'!J9/365</f>
        <v/>
      </c>
      <c r="K7" s="9">
        <f>'3STMT_ASSUMPTIONS'!K27*'3STMT_IS'!K9/365</f>
        <v/>
      </c>
    </row>
    <row r="8" ht="15" customHeight="1" s="5">
      <c r="A8" s="4" t="inlineStr">
        <is>
          <t xml:space="preserve">  Inventory</t>
        </is>
      </c>
      <c r="B8" s="9">
        <f>'3STMT_ASSUMPTIONS'!B28*(-'3STMT_IS'!B13)/365</f>
        <v/>
      </c>
      <c r="C8" s="9">
        <f>'3STMT_ASSUMPTIONS'!C28*(-'3STMT_IS'!C13)/365</f>
        <v/>
      </c>
      <c r="D8" s="9">
        <f>'3STMT_ASSUMPTIONS'!D28*(-'3STMT_IS'!D13)/365</f>
        <v/>
      </c>
      <c r="E8" s="9">
        <f>'3STMT_ASSUMPTIONS'!E28*(-'3STMT_IS'!E13)/365</f>
        <v/>
      </c>
      <c r="F8" s="9">
        <f>'3STMT_ASSUMPTIONS'!F28*(-'3STMT_IS'!F13)/365</f>
        <v/>
      </c>
      <c r="G8" s="9">
        <f>'3STMT_ASSUMPTIONS'!G28*(-'3STMT_IS'!G13)/365</f>
        <v/>
      </c>
      <c r="H8" s="9">
        <f>'3STMT_ASSUMPTIONS'!H28*(-'3STMT_IS'!H13)/365</f>
        <v/>
      </c>
      <c r="I8" s="9">
        <f>'3STMT_ASSUMPTIONS'!I28*(-'3STMT_IS'!I13)/365</f>
        <v/>
      </c>
      <c r="J8" s="9">
        <f>'3STMT_ASSUMPTIONS'!J28*(-'3STMT_IS'!J13)/365</f>
        <v/>
      </c>
      <c r="K8" s="9">
        <f>'3STMT_ASSUMPTIONS'!K28*(-'3STMT_IS'!K13)/365</f>
        <v/>
      </c>
    </row>
    <row r="9" ht="15" customHeight="1" s="5">
      <c r="A9" s="4" t="inlineStr">
        <is>
          <t xml:space="preserve">  Other Current Assets</t>
        </is>
      </c>
      <c r="B9" s="9">
        <f>'3STMT_ASSUMPTIONS'!B57</f>
        <v/>
      </c>
      <c r="C9" s="9">
        <f>B9*('3STMT_IS'!C9/'3STMT_IS'!B9)</f>
        <v/>
      </c>
      <c r="D9" s="9">
        <f>C9*('3STMT_IS'!D9/'3STMT_IS'!C9)</f>
        <v/>
      </c>
      <c r="E9" s="9">
        <f>D9*('3STMT_IS'!E9/'3STMT_IS'!D9)</f>
        <v/>
      </c>
      <c r="F9" s="9">
        <f>E9*('3STMT_IS'!F9/'3STMT_IS'!E9)</f>
        <v/>
      </c>
      <c r="G9" s="9">
        <f>F9*('3STMT_IS'!G9/'3STMT_IS'!F9)</f>
        <v/>
      </c>
      <c r="H9" s="9">
        <f>G9*('3STMT_IS'!H9/'3STMT_IS'!G9)</f>
        <v/>
      </c>
      <c r="I9" s="9">
        <f>H9*('3STMT_IS'!I9/'3STMT_IS'!H9)</f>
        <v/>
      </c>
      <c r="J9" s="9">
        <f>I9*('3STMT_IS'!J9/'3STMT_IS'!I9)</f>
        <v/>
      </c>
      <c r="K9" s="9">
        <f>J9*('3STMT_IS'!K9/'3STMT_IS'!J9)</f>
        <v/>
      </c>
    </row>
    <row r="10" ht="15" customHeight="1" s="5">
      <c r="A10" s="4" t="inlineStr">
        <is>
          <t>Total Current Assets</t>
        </is>
      </c>
      <c r="B10" s="8">
        <f>SUM(B6:B9)</f>
        <v/>
      </c>
      <c r="C10" s="8">
        <f>SUM(C6:C9)</f>
        <v/>
      </c>
      <c r="D10" s="8">
        <f>SUM(D6:D9)</f>
        <v/>
      </c>
      <c r="E10" s="8">
        <f>SUM(E6:E9)</f>
        <v/>
      </c>
      <c r="F10" s="8">
        <f>SUM(F6:F9)</f>
        <v/>
      </c>
      <c r="G10" s="8">
        <f>SUM(G6:G9)</f>
        <v/>
      </c>
      <c r="H10" s="8">
        <f>SUM(H6:H9)</f>
        <v/>
      </c>
      <c r="I10" s="8">
        <f>SUM(I6:I9)</f>
        <v/>
      </c>
      <c r="J10" s="8">
        <f>SUM(J6:J9)</f>
        <v/>
      </c>
      <c r="K10" s="8">
        <f>SUM(K6:K9)</f>
        <v/>
      </c>
    </row>
    <row r="11" ht="15" customHeight="1" s="5">
      <c r="A11" s="4" t="inlineStr">
        <is>
          <t xml:space="preserve">  PP&amp;E, Net</t>
        </is>
      </c>
      <c r="B11" s="9">
        <f>'3STMT_ASSUMPTIONS'!B53</f>
        <v/>
      </c>
      <c r="C11" s="9">
        <f>B11+'3STMT_IS'!C9*'3STMT_ASSUMPTIONS'!C26+'3STMT_IS'!C24</f>
        <v/>
      </c>
      <c r="D11" s="9">
        <f>C11+'3STMT_IS'!D9*'3STMT_ASSUMPTIONS'!D26+'3STMT_IS'!D24</f>
        <v/>
      </c>
      <c r="E11" s="9">
        <f>D11+'3STMT_IS'!E9*'3STMT_ASSUMPTIONS'!E26+'3STMT_IS'!E24</f>
        <v/>
      </c>
      <c r="F11" s="9">
        <f>E11+'3STMT_IS'!F9*'3STMT_ASSUMPTIONS'!F26+'3STMT_IS'!F24</f>
        <v/>
      </c>
      <c r="G11" s="9">
        <f>F11+'3STMT_IS'!G9*'3STMT_ASSUMPTIONS'!G26+'3STMT_IS'!G24</f>
        <v/>
      </c>
      <c r="H11" s="9">
        <f>G11+'3STMT_IS'!H9*'3STMT_ASSUMPTIONS'!H26+'3STMT_IS'!H24</f>
        <v/>
      </c>
      <c r="I11" s="9">
        <f>H11+'3STMT_IS'!I9*'3STMT_ASSUMPTIONS'!I26+'3STMT_IS'!I24</f>
        <v/>
      </c>
      <c r="J11" s="9">
        <f>I11+'3STMT_IS'!J9*'3STMT_ASSUMPTIONS'!J26+'3STMT_IS'!J24</f>
        <v/>
      </c>
      <c r="K11" s="9">
        <f>J11+'3STMT_IS'!K9*'3STMT_ASSUMPTIONS'!K26+'3STMT_IS'!K24</f>
        <v/>
      </c>
    </row>
    <row r="12" ht="15" customHeight="1" s="5">
      <c r="A12" s="4" t="inlineStr">
        <is>
          <t xml:space="preserve">  Goodwill</t>
        </is>
      </c>
      <c r="B12" s="9">
        <f>'3STMT_ASSUMPTIONS'!B54</f>
        <v/>
      </c>
      <c r="C12" s="9">
        <f>B12+'3STMT_ASSUMPTIONS'!C39*0.7</f>
        <v/>
      </c>
      <c r="D12" s="9">
        <f>C12+'3STMT_ASSUMPTIONS'!D39*0.7</f>
        <v/>
      </c>
      <c r="E12" s="9">
        <f>D12+'3STMT_ASSUMPTIONS'!E39*0.7</f>
        <v/>
      </c>
      <c r="F12" s="9">
        <f>E12+'3STMT_ASSUMPTIONS'!F39*0.7</f>
        <v/>
      </c>
      <c r="G12" s="9">
        <f>F12+'3STMT_ASSUMPTIONS'!G39*0.7</f>
        <v/>
      </c>
      <c r="H12" s="9">
        <f>G12+'3STMT_ASSUMPTIONS'!H39*0.7</f>
        <v/>
      </c>
      <c r="I12" s="9">
        <f>H12+'3STMT_ASSUMPTIONS'!I39*0.7</f>
        <v/>
      </c>
      <c r="J12" s="9">
        <f>I12+'3STMT_ASSUMPTIONS'!J39*0.7</f>
        <v/>
      </c>
      <c r="K12" s="9">
        <f>J12+'3STMT_ASSUMPTIONS'!K39*0.7</f>
        <v/>
      </c>
    </row>
    <row r="13" ht="15" customHeight="1" s="5">
      <c r="A13" s="4" t="inlineStr">
        <is>
          <t xml:space="preserve">  Intangible Assets, Net</t>
        </is>
      </c>
      <c r="B13" s="9">
        <f>'3STMT_ASSUMPTIONS'!B55</f>
        <v/>
      </c>
      <c r="C13" s="9">
        <f>B13*0.93+'3STMT_ASSUMPTIONS'!C39*0.3</f>
        <v/>
      </c>
      <c r="D13" s="9">
        <f>C13*0.93+'3STMT_ASSUMPTIONS'!D39*0.3</f>
        <v/>
      </c>
      <c r="E13" s="9">
        <f>D13*0.93+'3STMT_ASSUMPTIONS'!E39*0.3</f>
        <v/>
      </c>
      <c r="F13" s="9">
        <f>E13*0.93+'3STMT_ASSUMPTIONS'!F39*0.3</f>
        <v/>
      </c>
      <c r="G13" s="9">
        <f>F13*0.93+'3STMT_ASSUMPTIONS'!G39*0.3</f>
        <v/>
      </c>
      <c r="H13" s="9">
        <f>G13*0.93+'3STMT_ASSUMPTIONS'!H39*0.3</f>
        <v/>
      </c>
      <c r="I13" s="9">
        <f>H13*0.93+'3STMT_ASSUMPTIONS'!I39*0.3</f>
        <v/>
      </c>
      <c r="J13" s="9">
        <f>I13*0.93+'3STMT_ASSUMPTIONS'!J39*0.3</f>
        <v/>
      </c>
      <c r="K13" s="9">
        <f>J13*0.93+'3STMT_ASSUMPTIONS'!K39*0.3</f>
        <v/>
      </c>
    </row>
    <row r="14" ht="15" customHeight="1" s="5">
      <c r="A14" s="4" t="inlineStr">
        <is>
          <t xml:space="preserve">  Other LT Assets (bal. plug)</t>
        </is>
      </c>
      <c r="B14" s="8">
        <f>B30+B35-B10-B11-B12-B13</f>
        <v/>
      </c>
      <c r="C14" s="8">
        <f>C30+C35-C10-C11-C12-C13</f>
        <v/>
      </c>
      <c r="D14" s="8">
        <f>D30+D35-D10-D11-D12-D13</f>
        <v/>
      </c>
      <c r="E14" s="8">
        <f>E30+E35-E10-E11-E12-E13</f>
        <v/>
      </c>
      <c r="F14" s="8">
        <f>F30+F35-F10-F11-F12-F13</f>
        <v/>
      </c>
      <c r="G14" s="8">
        <f>G30+G35-G10-G11-G12-G13</f>
        <v/>
      </c>
      <c r="H14" s="8">
        <f>H30+H35-H10-H11-H12-H13</f>
        <v/>
      </c>
      <c r="I14" s="8">
        <f>I30+I35-I10-I11-I12-I13</f>
        <v/>
      </c>
      <c r="J14" s="8">
        <f>J30+J35-J10-J11-J12-J13</f>
        <v/>
      </c>
      <c r="K14" s="8">
        <f>K30+K35-K10-K11-K12-K13</f>
        <v/>
      </c>
    </row>
    <row r="15" ht="15" customHeight="1" s="5">
      <c r="A15" s="4" t="inlineStr">
        <is>
          <t>Total Assets</t>
        </is>
      </c>
      <c r="B15" s="8">
        <f>B10+B11+B12+B13+B14</f>
        <v/>
      </c>
      <c r="C15" s="8">
        <f>C10+C11+C12+C13+C14</f>
        <v/>
      </c>
      <c r="D15" s="8">
        <f>D10+D11+D12+D13+D14</f>
        <v/>
      </c>
      <c r="E15" s="8">
        <f>E10+E11+E12+E13+E14</f>
        <v/>
      </c>
      <c r="F15" s="8">
        <f>F10+F11+F12+F13+F14</f>
        <v/>
      </c>
      <c r="G15" s="8">
        <f>G10+G11+G12+G13+G14</f>
        <v/>
      </c>
      <c r="H15" s="8">
        <f>H10+H11+H12+H13+H14</f>
        <v/>
      </c>
      <c r="I15" s="8">
        <f>I10+I11+I12+I13+I14</f>
        <v/>
      </c>
      <c r="J15" s="8">
        <f>J10+J11+J12+J13+J14</f>
        <v/>
      </c>
      <c r="K15" s="8">
        <f>K10+K11+K12+K13+K14</f>
        <v/>
      </c>
    </row>
    <row r="17" ht="15" customHeight="1" s="5">
      <c r="A17" s="4" t="inlineStr">
        <is>
          <t>LIABILITIES &amp; EQUITY</t>
        </is>
      </c>
    </row>
    <row r="18" ht="15" customHeight="1" s="5">
      <c r="A18" s="4" t="inlineStr">
        <is>
          <t xml:space="preserve">  Accounts Payable</t>
        </is>
      </c>
      <c r="B18" s="9">
        <f>'3STMT_ASSUMPTIONS'!B29*(-'3STMT_IS'!B13)/365</f>
        <v/>
      </c>
      <c r="C18" s="9">
        <f>'3STMT_ASSUMPTIONS'!C29*(-'3STMT_IS'!C13)/365</f>
        <v/>
      </c>
      <c r="D18" s="9">
        <f>'3STMT_ASSUMPTIONS'!D29*(-'3STMT_IS'!D13)/365</f>
        <v/>
      </c>
      <c r="E18" s="9">
        <f>'3STMT_ASSUMPTIONS'!E29*(-'3STMT_IS'!E13)/365</f>
        <v/>
      </c>
      <c r="F18" s="9">
        <f>'3STMT_ASSUMPTIONS'!F29*(-'3STMT_IS'!F13)/365</f>
        <v/>
      </c>
      <c r="G18" s="9">
        <f>'3STMT_ASSUMPTIONS'!G29*(-'3STMT_IS'!G13)/365</f>
        <v/>
      </c>
      <c r="H18" s="9">
        <f>'3STMT_ASSUMPTIONS'!H29*(-'3STMT_IS'!H13)/365</f>
        <v/>
      </c>
      <c r="I18" s="9">
        <f>'3STMT_ASSUMPTIONS'!I29*(-'3STMT_IS'!I13)/365</f>
        <v/>
      </c>
      <c r="J18" s="9">
        <f>'3STMT_ASSUMPTIONS'!J29*(-'3STMT_IS'!J13)/365</f>
        <v/>
      </c>
      <c r="K18" s="9">
        <f>'3STMT_ASSUMPTIONS'!K29*(-'3STMT_IS'!K13)/365</f>
        <v/>
      </c>
    </row>
    <row r="19" ht="15" customHeight="1" s="5">
      <c r="A19" s="4" t="inlineStr">
        <is>
          <t xml:space="preserve">  Accrued Expenses</t>
        </is>
      </c>
      <c r="B19" s="9">
        <f>'3STMT_ASSUMPTIONS'!B58</f>
        <v/>
      </c>
      <c r="C19" s="9">
        <f>B19*('3STMT_IS'!C9/'3STMT_IS'!B9)</f>
        <v/>
      </c>
      <c r="D19" s="9">
        <f>C19*('3STMT_IS'!D9/'3STMT_IS'!C9)</f>
        <v/>
      </c>
      <c r="E19" s="9">
        <f>D19*('3STMT_IS'!E9/'3STMT_IS'!D9)</f>
        <v/>
      </c>
      <c r="F19" s="9">
        <f>E19*('3STMT_IS'!F9/'3STMT_IS'!E9)</f>
        <v/>
      </c>
      <c r="G19" s="9">
        <f>F19*('3STMT_IS'!G9/'3STMT_IS'!F9)</f>
        <v/>
      </c>
      <c r="H19" s="9">
        <f>G19*('3STMT_IS'!H9/'3STMT_IS'!G9)</f>
        <v/>
      </c>
      <c r="I19" s="9">
        <f>H19*('3STMT_IS'!I9/'3STMT_IS'!H9)</f>
        <v/>
      </c>
      <c r="J19" s="9">
        <f>I19*('3STMT_IS'!J9/'3STMT_IS'!I9)</f>
        <v/>
      </c>
      <c r="K19" s="9">
        <f>J19*('3STMT_IS'!K9/'3STMT_IS'!J9)</f>
        <v/>
      </c>
    </row>
    <row r="20" ht="15" customHeight="1" s="5">
      <c r="A20" s="4" t="inlineStr">
        <is>
          <t xml:space="preserve">  Current Portion of LT Debt</t>
        </is>
      </c>
      <c r="B20" s="9">
        <f>'3STMT_DEBT'!B14+'3STMT_DEBT'!B21</f>
        <v/>
      </c>
      <c r="C20" s="9">
        <f>'3STMT_DEBT'!C14+'3STMT_DEBT'!C21</f>
        <v/>
      </c>
      <c r="D20" s="9">
        <f>'3STMT_DEBT'!D14+'3STMT_DEBT'!D21</f>
        <v/>
      </c>
      <c r="E20" s="9">
        <f>'3STMT_DEBT'!E14+'3STMT_DEBT'!E21</f>
        <v/>
      </c>
      <c r="F20" s="9">
        <f>'3STMT_DEBT'!F14+'3STMT_DEBT'!F21</f>
        <v/>
      </c>
      <c r="G20" s="9">
        <f>'3STMT_DEBT'!G14+'3STMT_DEBT'!G21</f>
        <v/>
      </c>
      <c r="H20" s="9">
        <f>'3STMT_DEBT'!H14+'3STMT_DEBT'!H21</f>
        <v/>
      </c>
      <c r="I20" s="9">
        <f>'3STMT_DEBT'!I14+'3STMT_DEBT'!I21</f>
        <v/>
      </c>
      <c r="J20" s="9">
        <f>'3STMT_DEBT'!J14+'3STMT_DEBT'!J21</f>
        <v/>
      </c>
      <c r="K20" s="9">
        <f>'3STMT_DEBT'!K14+'3STMT_DEBT'!K21</f>
        <v/>
      </c>
    </row>
    <row r="21" ht="15" customHeight="1" s="5">
      <c r="A21" s="4" t="inlineStr">
        <is>
          <t xml:space="preserve">  Other Current Liabilities</t>
        </is>
      </c>
      <c r="B21" s="9">
        <f>'3STMT_ASSUMPTIONS'!B59</f>
        <v/>
      </c>
      <c r="C21" s="9">
        <f>B21*('3STMT_IS'!C9/'3STMT_IS'!B9)</f>
        <v/>
      </c>
      <c r="D21" s="9">
        <f>C21*('3STMT_IS'!D9/'3STMT_IS'!C9)</f>
        <v/>
      </c>
      <c r="E21" s="9">
        <f>D21*('3STMT_IS'!E9/'3STMT_IS'!D9)</f>
        <v/>
      </c>
      <c r="F21" s="9">
        <f>E21*('3STMT_IS'!F9/'3STMT_IS'!E9)</f>
        <v/>
      </c>
      <c r="G21" s="9">
        <f>F21*('3STMT_IS'!G9/'3STMT_IS'!F9)</f>
        <v/>
      </c>
      <c r="H21" s="9">
        <f>G21*('3STMT_IS'!H9/'3STMT_IS'!G9)</f>
        <v/>
      </c>
      <c r="I21" s="9">
        <f>H21*('3STMT_IS'!I9/'3STMT_IS'!H9)</f>
        <v/>
      </c>
      <c r="J21" s="9">
        <f>I21*('3STMT_IS'!J9/'3STMT_IS'!I9)</f>
        <v/>
      </c>
      <c r="K21" s="9">
        <f>J21*('3STMT_IS'!K9/'3STMT_IS'!J9)</f>
        <v/>
      </c>
    </row>
    <row r="22" ht="15" customHeight="1" s="5">
      <c r="A22" s="4" t="inlineStr">
        <is>
          <t>Total Current Liabilities</t>
        </is>
      </c>
      <c r="B22" s="8">
        <f>SUM(B18:B21)</f>
        <v/>
      </c>
      <c r="C22" s="8">
        <f>SUM(C18:C21)</f>
        <v/>
      </c>
      <c r="D22" s="8">
        <f>SUM(D18:D21)</f>
        <v/>
      </c>
      <c r="E22" s="8">
        <f>SUM(E18:E21)</f>
        <v/>
      </c>
      <c r="F22" s="8">
        <f>SUM(F18:F21)</f>
        <v/>
      </c>
      <c r="G22" s="8">
        <f>SUM(G18:G21)</f>
        <v/>
      </c>
      <c r="H22" s="8">
        <f>SUM(H18:H21)</f>
        <v/>
      </c>
      <c r="I22" s="8">
        <f>SUM(I18:I21)</f>
        <v/>
      </c>
      <c r="J22" s="8">
        <f>SUM(J18:J21)</f>
        <v/>
      </c>
      <c r="K22" s="8">
        <f>SUM(K18:K21)</f>
        <v/>
      </c>
    </row>
    <row r="23" ht="15" customHeight="1" s="5">
      <c r="A23" s="4" t="inlineStr">
        <is>
          <t xml:space="preserve">  Revolver</t>
        </is>
      </c>
      <c r="B23" s="9">
        <f>'3STMT_DEBT'!B9</f>
        <v/>
      </c>
      <c r="C23" s="9">
        <f>'3STMT_DEBT'!C9</f>
        <v/>
      </c>
      <c r="D23" s="9">
        <f>'3STMT_DEBT'!D9</f>
        <v/>
      </c>
      <c r="E23" s="9">
        <f>'3STMT_DEBT'!E9</f>
        <v/>
      </c>
      <c r="F23" s="9">
        <f>'3STMT_DEBT'!F9</f>
        <v/>
      </c>
      <c r="G23" s="9">
        <f>'3STMT_DEBT'!G9</f>
        <v/>
      </c>
      <c r="H23" s="9">
        <f>'3STMT_DEBT'!H9</f>
        <v/>
      </c>
      <c r="I23" s="9">
        <f>'3STMT_DEBT'!I9</f>
        <v/>
      </c>
      <c r="J23" s="9">
        <f>'3STMT_DEBT'!J9</f>
        <v/>
      </c>
      <c r="K23" s="9">
        <f>'3STMT_DEBT'!K9</f>
        <v/>
      </c>
    </row>
    <row r="24" ht="15" customHeight="1" s="5">
      <c r="A24" s="4" t="inlineStr">
        <is>
          <t xml:space="preserve">  Term Loan A</t>
        </is>
      </c>
      <c r="B24" s="9">
        <f>'3STMT_DEBT'!B16</f>
        <v/>
      </c>
      <c r="C24" s="9">
        <f>'3STMT_DEBT'!C16</f>
        <v/>
      </c>
      <c r="D24" s="9">
        <f>'3STMT_DEBT'!D16</f>
        <v/>
      </c>
      <c r="E24" s="9">
        <f>'3STMT_DEBT'!E16</f>
        <v/>
      </c>
      <c r="F24" s="9">
        <f>'3STMT_DEBT'!F16</f>
        <v/>
      </c>
      <c r="G24" s="9">
        <f>'3STMT_DEBT'!G16</f>
        <v/>
      </c>
      <c r="H24" s="9">
        <f>'3STMT_DEBT'!H16</f>
        <v/>
      </c>
      <c r="I24" s="9">
        <f>'3STMT_DEBT'!I16</f>
        <v/>
      </c>
      <c r="J24" s="9">
        <f>'3STMT_DEBT'!J16</f>
        <v/>
      </c>
      <c r="K24" s="9">
        <f>'3STMT_DEBT'!K16</f>
        <v/>
      </c>
    </row>
    <row r="25" ht="15" customHeight="1" s="5">
      <c r="A25" s="4" t="inlineStr">
        <is>
          <t xml:space="preserve">  Term Loan B</t>
        </is>
      </c>
      <c r="B25" s="9">
        <f>'3STMT_DEBT'!B23</f>
        <v/>
      </c>
      <c r="C25" s="9">
        <f>'3STMT_DEBT'!C23</f>
        <v/>
      </c>
      <c r="D25" s="9">
        <f>'3STMT_DEBT'!D23</f>
        <v/>
      </c>
      <c r="E25" s="9">
        <f>'3STMT_DEBT'!E23</f>
        <v/>
      </c>
      <c r="F25" s="9">
        <f>'3STMT_DEBT'!F23</f>
        <v/>
      </c>
      <c r="G25" s="9">
        <f>'3STMT_DEBT'!G23</f>
        <v/>
      </c>
      <c r="H25" s="9">
        <f>'3STMT_DEBT'!H23</f>
        <v/>
      </c>
      <c r="I25" s="9">
        <f>'3STMT_DEBT'!I23</f>
        <v/>
      </c>
      <c r="J25" s="9">
        <f>'3STMT_DEBT'!J23</f>
        <v/>
      </c>
      <c r="K25" s="9">
        <f>'3STMT_DEBT'!K23</f>
        <v/>
      </c>
    </row>
    <row r="26" ht="15" customHeight="1" s="5">
      <c r="A26" s="4" t="inlineStr">
        <is>
          <t xml:space="preserve">  Senior Notes</t>
        </is>
      </c>
      <c r="B26" s="9">
        <f>'3STMT_DEBT'!B29</f>
        <v/>
      </c>
      <c r="C26" s="9">
        <f>'3STMT_DEBT'!C29</f>
        <v/>
      </c>
      <c r="D26" s="9">
        <f>'3STMT_DEBT'!D29</f>
        <v/>
      </c>
      <c r="E26" s="9">
        <f>'3STMT_DEBT'!E29</f>
        <v/>
      </c>
      <c r="F26" s="9">
        <f>'3STMT_DEBT'!F29</f>
        <v/>
      </c>
      <c r="G26" s="9">
        <f>'3STMT_DEBT'!G29</f>
        <v/>
      </c>
      <c r="H26" s="9">
        <f>'3STMT_DEBT'!H29</f>
        <v/>
      </c>
      <c r="I26" s="9">
        <f>'3STMT_DEBT'!I29</f>
        <v/>
      </c>
      <c r="J26" s="9">
        <f>'3STMT_DEBT'!J29</f>
        <v/>
      </c>
      <c r="K26" s="9">
        <f>'3STMT_DEBT'!K29</f>
        <v/>
      </c>
    </row>
    <row r="27" ht="15" customHeight="1" s="5">
      <c r="A27" s="4" t="inlineStr">
        <is>
          <t>Total Long-Term Debt</t>
        </is>
      </c>
      <c r="B27" s="8">
        <f>SUM(B23:B26)</f>
        <v/>
      </c>
      <c r="C27" s="8">
        <f>SUM(C23:C26)</f>
        <v/>
      </c>
      <c r="D27" s="8">
        <f>SUM(D23:D26)</f>
        <v/>
      </c>
      <c r="E27" s="8">
        <f>SUM(E23:E26)</f>
        <v/>
      </c>
      <c r="F27" s="8">
        <f>SUM(F23:F26)</f>
        <v/>
      </c>
      <c r="G27" s="8">
        <f>SUM(G23:G26)</f>
        <v/>
      </c>
      <c r="H27" s="8">
        <f>SUM(H23:H26)</f>
        <v/>
      </c>
      <c r="I27" s="8">
        <f>SUM(I23:I26)</f>
        <v/>
      </c>
      <c r="J27" s="8">
        <f>SUM(J23:J26)</f>
        <v/>
      </c>
      <c r="K27" s="8">
        <f>SUM(K23:K26)</f>
        <v/>
      </c>
    </row>
    <row r="28" ht="15" customHeight="1" s="5">
      <c r="A28" s="4" t="inlineStr">
        <is>
          <t xml:space="preserve">  Deferred Tax Liabilities</t>
        </is>
      </c>
      <c r="B28" s="9">
        <f>'3STMT_ASSUMPTIONS'!B60</f>
        <v/>
      </c>
      <c r="C28" s="8">
        <f>B28*1.01</f>
        <v/>
      </c>
      <c r="D28" s="8">
        <f>C28*1.01</f>
        <v/>
      </c>
      <c r="E28" s="8">
        <f>D28*1.01</f>
        <v/>
      </c>
      <c r="F28" s="8">
        <f>E28*1.01</f>
        <v/>
      </c>
      <c r="G28" s="8">
        <f>F28*1.01</f>
        <v/>
      </c>
      <c r="H28" s="8">
        <f>G28*1.01</f>
        <v/>
      </c>
      <c r="I28" s="8">
        <f>H28*1.01</f>
        <v/>
      </c>
      <c r="J28" s="8">
        <f>I28*1.01</f>
        <v/>
      </c>
      <c r="K28" s="8">
        <f>J28*1.01</f>
        <v/>
      </c>
    </row>
    <row r="29" ht="15" customHeight="1" s="5">
      <c r="A29" s="4" t="inlineStr">
        <is>
          <t xml:space="preserve">  Other Long-Term Liabilities</t>
        </is>
      </c>
      <c r="B29" s="9">
        <f>'3STMT_ASSUMPTIONS'!B61</f>
        <v/>
      </c>
      <c r="C29" s="8">
        <f>B29*1.02</f>
        <v/>
      </c>
      <c r="D29" s="8">
        <f>C29*1.02</f>
        <v/>
      </c>
      <c r="E29" s="8">
        <f>D29*1.02</f>
        <v/>
      </c>
      <c r="F29" s="8">
        <f>E29*1.02</f>
        <v/>
      </c>
      <c r="G29" s="8">
        <f>F29*1.02</f>
        <v/>
      </c>
      <c r="H29" s="8">
        <f>G29*1.02</f>
        <v/>
      </c>
      <c r="I29" s="8">
        <f>H29*1.02</f>
        <v/>
      </c>
      <c r="J29" s="8">
        <f>I29*1.02</f>
        <v/>
      </c>
      <c r="K29" s="8">
        <f>J29*1.02</f>
        <v/>
      </c>
    </row>
    <row r="30" ht="15" customHeight="1" s="5">
      <c r="A30" s="4" t="inlineStr">
        <is>
          <t>Total Liabilities</t>
        </is>
      </c>
      <c r="B30" s="8">
        <f>B22+B27+B28+B29</f>
        <v/>
      </c>
      <c r="C30" s="8">
        <f>C22+C27+C28+C29</f>
        <v/>
      </c>
      <c r="D30" s="8">
        <f>D22+D27+D28+D29</f>
        <v/>
      </c>
      <c r="E30" s="8">
        <f>E22+E27+E28+E29</f>
        <v/>
      </c>
      <c r="F30" s="8">
        <f>F22+F27+F28+F29</f>
        <v/>
      </c>
      <c r="G30" s="8">
        <f>G22+G27+G28+G29</f>
        <v/>
      </c>
      <c r="H30" s="8">
        <f>H22+H27+H28+H29</f>
        <v/>
      </c>
      <c r="I30" s="8">
        <f>I22+I27+I28+I29</f>
        <v/>
      </c>
      <c r="J30" s="8">
        <f>J22+J27+J28+J29</f>
        <v/>
      </c>
      <c r="K30" s="8">
        <f>K22+K27+K28+K29</f>
        <v/>
      </c>
    </row>
    <row r="32" ht="15" customHeight="1" s="5">
      <c r="A32" s="4" t="inlineStr">
        <is>
          <t xml:space="preserve">  Common Stock</t>
        </is>
      </c>
      <c r="B32" s="9">
        <f>'3STMT_ASSUMPTIONS'!B62</f>
        <v/>
      </c>
      <c r="C32" s="9">
        <f>B32+'3STMT_IS'!C9*'3STMT_ASSUMPTIONS'!C23-'3STMT_ASSUMPTIONS'!C38</f>
        <v/>
      </c>
      <c r="D32" s="9">
        <f>C32+'3STMT_IS'!D9*'3STMT_ASSUMPTIONS'!D23-'3STMT_ASSUMPTIONS'!D38</f>
        <v/>
      </c>
      <c r="E32" s="9">
        <f>D32+'3STMT_IS'!E9*'3STMT_ASSUMPTIONS'!E23-'3STMT_ASSUMPTIONS'!E38</f>
        <v/>
      </c>
      <c r="F32" s="9">
        <f>E32+'3STMT_IS'!F9*'3STMT_ASSUMPTIONS'!F23-'3STMT_ASSUMPTIONS'!F38</f>
        <v/>
      </c>
      <c r="G32" s="9">
        <f>F32+'3STMT_IS'!G9*'3STMT_ASSUMPTIONS'!G23-'3STMT_ASSUMPTIONS'!G38</f>
        <v/>
      </c>
      <c r="H32" s="9">
        <f>G32+'3STMT_IS'!H9*'3STMT_ASSUMPTIONS'!H23-'3STMT_ASSUMPTIONS'!H38</f>
        <v/>
      </c>
      <c r="I32" s="9">
        <f>H32+'3STMT_IS'!I9*'3STMT_ASSUMPTIONS'!I23-'3STMT_ASSUMPTIONS'!I38</f>
        <v/>
      </c>
      <c r="J32" s="9">
        <f>I32+'3STMT_IS'!J9*'3STMT_ASSUMPTIONS'!J23-'3STMT_ASSUMPTIONS'!J38</f>
        <v/>
      </c>
      <c r="K32" s="9">
        <f>J32+'3STMT_IS'!K9*'3STMT_ASSUMPTIONS'!K23-'3STMT_ASSUMPTIONS'!K38</f>
        <v/>
      </c>
    </row>
    <row r="33" ht="15" customHeight="1" s="5">
      <c r="A33" s="4" t="inlineStr">
        <is>
          <t xml:space="preserve">  Retained Earnings</t>
        </is>
      </c>
      <c r="B33" s="9">
        <f>'3STMT_ASSUMPTIONS'!B63</f>
        <v/>
      </c>
      <c r="C33" s="9">
        <f>B33+'3STMT_IS'!C30-'3STMT_ASSUMPTIONS'!C37*'3STMT_ASSUMPTIONS'!C36/1000</f>
        <v/>
      </c>
      <c r="D33" s="9">
        <f>C33+'3STMT_IS'!D30-'3STMT_ASSUMPTIONS'!D37*'3STMT_ASSUMPTIONS'!D36/1000</f>
        <v/>
      </c>
      <c r="E33" s="9">
        <f>D33+'3STMT_IS'!E30-'3STMT_ASSUMPTIONS'!E37*'3STMT_ASSUMPTIONS'!E36/1000</f>
        <v/>
      </c>
      <c r="F33" s="9">
        <f>E33+'3STMT_IS'!F30-'3STMT_ASSUMPTIONS'!F37*'3STMT_ASSUMPTIONS'!F36/1000</f>
        <v/>
      </c>
      <c r="G33" s="9">
        <f>F33+'3STMT_IS'!G30-'3STMT_ASSUMPTIONS'!G37*'3STMT_ASSUMPTIONS'!G36/1000</f>
        <v/>
      </c>
      <c r="H33" s="9">
        <f>G33+'3STMT_IS'!H30-'3STMT_ASSUMPTIONS'!H37*'3STMT_ASSUMPTIONS'!H36/1000</f>
        <v/>
      </c>
      <c r="I33" s="9">
        <f>H33+'3STMT_IS'!I30-'3STMT_ASSUMPTIONS'!I37*'3STMT_ASSUMPTIONS'!I36/1000</f>
        <v/>
      </c>
      <c r="J33" s="9">
        <f>I33+'3STMT_IS'!J30-'3STMT_ASSUMPTIONS'!J37*'3STMT_ASSUMPTIONS'!J36/1000</f>
        <v/>
      </c>
      <c r="K33" s="9">
        <f>J33+'3STMT_IS'!K30-'3STMT_ASSUMPTIONS'!K37*'3STMT_ASSUMPTIONS'!K36/1000</f>
        <v/>
      </c>
    </row>
    <row r="34" ht="15" customHeight="1" s="5">
      <c r="A34" s="4" t="inlineStr">
        <is>
          <t xml:space="preserve">  Accumulated OCI</t>
        </is>
      </c>
      <c r="B34" s="9">
        <f>'3STMT_ASSUMPTIONS'!B64</f>
        <v/>
      </c>
      <c r="C34" s="8">
        <f>B34</f>
        <v/>
      </c>
      <c r="D34" s="8">
        <f>C34</f>
        <v/>
      </c>
      <c r="E34" s="8">
        <f>D34</f>
        <v/>
      </c>
      <c r="F34" s="8">
        <f>E34</f>
        <v/>
      </c>
      <c r="G34" s="8">
        <f>F34</f>
        <v/>
      </c>
      <c r="H34" s="8">
        <f>G34</f>
        <v/>
      </c>
      <c r="I34" s="8">
        <f>H34</f>
        <v/>
      </c>
      <c r="J34" s="8">
        <f>I34</f>
        <v/>
      </c>
      <c r="K34" s="8">
        <f>J34</f>
        <v/>
      </c>
    </row>
    <row r="35" ht="15" customHeight="1" s="5">
      <c r="A35" s="4" t="inlineStr">
        <is>
          <t>Total Stockholders Equity</t>
        </is>
      </c>
      <c r="B35" s="8">
        <f>B32+B33+B34</f>
        <v/>
      </c>
      <c r="C35" s="8">
        <f>C32+C33+C34</f>
        <v/>
      </c>
      <c r="D35" s="8">
        <f>D32+D33+D34</f>
        <v/>
      </c>
      <c r="E35" s="8">
        <f>E32+E33+E34</f>
        <v/>
      </c>
      <c r="F35" s="8">
        <f>F32+F33+F34</f>
        <v/>
      </c>
      <c r="G35" s="8">
        <f>G32+G33+G34</f>
        <v/>
      </c>
      <c r="H35" s="8">
        <f>H32+H33+H34</f>
        <v/>
      </c>
      <c r="I35" s="8">
        <f>I32+I33+I34</f>
        <v/>
      </c>
      <c r="J35" s="8">
        <f>J32+J33+J34</f>
        <v/>
      </c>
      <c r="K35" s="8">
        <f>K32+K33+K34</f>
        <v/>
      </c>
    </row>
    <row r="36" ht="15" customHeight="1" s="5">
      <c r="A36" s="4" t="inlineStr">
        <is>
          <t>Total Liabilities &amp; Equity</t>
        </is>
      </c>
      <c r="B36" s="8">
        <f>B30+B35</f>
        <v/>
      </c>
      <c r="C36" s="8">
        <f>C30+C35</f>
        <v/>
      </c>
      <c r="D36" s="8">
        <f>D30+D35</f>
        <v/>
      </c>
      <c r="E36" s="8">
        <f>E30+E35</f>
        <v/>
      </c>
      <c r="F36" s="8">
        <f>F30+F35</f>
        <v/>
      </c>
      <c r="G36" s="8">
        <f>G30+G35</f>
        <v/>
      </c>
      <c r="H36" s="8">
        <f>H30+H35</f>
        <v/>
      </c>
      <c r="I36" s="8">
        <f>I30+I35</f>
        <v/>
      </c>
      <c r="J36" s="8">
        <f>J30+J35</f>
        <v/>
      </c>
      <c r="K36" s="8">
        <f>K30+K35</f>
        <v/>
      </c>
    </row>
    <row r="38" ht="15" customHeight="1" s="5">
      <c r="A38" s="4" t="inlineStr">
        <is>
          <t>BALANCE CHECK (Assets - L&amp;E) = 0</t>
        </is>
      </c>
      <c r="B38" s="8">
        <f>B15-B36</f>
        <v/>
      </c>
      <c r="C38" s="8">
        <f>C15-C36</f>
        <v/>
      </c>
      <c r="D38" s="8">
        <f>D15-D36</f>
        <v/>
      </c>
      <c r="E38" s="8">
        <f>E15-E36</f>
        <v/>
      </c>
      <c r="F38" s="8">
        <f>F15-F36</f>
        <v/>
      </c>
      <c r="G38" s="8">
        <f>G15-G36</f>
        <v/>
      </c>
      <c r="H38" s="8">
        <f>H15-H36</f>
        <v/>
      </c>
      <c r="I38" s="8">
        <f>I15-I36</f>
        <v/>
      </c>
      <c r="J38" s="8">
        <f>J15-J36</f>
        <v/>
      </c>
      <c r="K38" s="8">
        <f>K15-K36</f>
        <v/>
      </c>
    </row>
  </sheetData>
  <mergeCells count="1">
    <mergeCell ref="A1:K1"/>
  </mergeCells>
  <printOptions horizontalCentered="1" verticalCentered="0" headings="0" gridLines="0" gridLinesSet="1"/>
  <pageMargins left="0.5" right="0.5" top="0.5" bottom="0.5" header="0.3" footer="0.3"/>
  <pageSetup orientation="landscape" paperSize="1" scale="100" fitToHeight="0" fitToWidth="1" pageOrder="downThenOver" blackAndWhite="0" draft="0" horizontalDpi="300" verticalDpi="300" copies="1"/>
  <headerFooter differentOddEven="0" differentFirst="0">
    <oddHeader>&amp;L&amp;8 &amp;K3C3F453STMT_BS&amp;C&amp;K0d27473STMT_BS&amp;R&amp;8 &amp;KC89000BARATELLI INSTITUTE  *  MENTORING AT SCALE</oddHeader>
    <oddFooter>&amp;L&amp;8 &amp;K3C3F45baratelliinstitute.com&amp;C&amp;8 &amp;K3C3F45Page &amp;P of &amp;N&amp;R&amp;8 &amp;K3C3F45Danaher Compounder 2026</oddFooter>
    <evenHeader/>
    <evenFooter/>
    <firstHeader/>
    <firstFooter/>
  </headerFooter>
</worksheet>
</file>

<file path=xl/worksheets/sheet26.xml><?xml version="1.0" encoding="utf-8"?>
<worksheet xmlns="http://schemas.openxmlformats.org/spreadsheetml/2006/main">
  <sheetPr filterMode="0">
    <outlinePr summaryBelow="1" summaryRight="1"/>
    <pageSetUpPr fitToPage="1"/>
  </sheetPr>
  <dimension ref="A1:K36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baseColWidth="8" defaultColWidth="8.6796875" defaultRowHeight="15" customHeight="0" zeroHeight="0" outlineLevelRow="0"/>
  <cols>
    <col width="40" customWidth="1" style="4" min="1" max="1"/>
    <col width="12" customWidth="1" style="4" min="2" max="11"/>
  </cols>
  <sheetData>
    <row r="1" ht="15" customHeight="1" s="5">
      <c r="A1" s="4" t="inlineStr">
        <is>
          <t>DANAHER — CASH FLOW STATEMENT (HISTORIC + PROJECTION)</t>
        </is>
      </c>
    </row>
    <row r="3" ht="15" customHeight="1" s="5">
      <c r="A3" s="4" t="inlineStr">
        <is>
          <t>($B unless noted)</t>
        </is>
      </c>
      <c r="B3" s="4" t="inlineStr">
        <is>
          <t>FY22A</t>
        </is>
      </c>
      <c r="C3" s="4" t="inlineStr">
        <is>
          <t>FY23A</t>
        </is>
      </c>
      <c r="D3" s="4" t="inlineStr">
        <is>
          <t>FY24A</t>
        </is>
      </c>
      <c r="E3" s="4" t="inlineStr">
        <is>
          <t>FY25A</t>
        </is>
      </c>
      <c r="F3" s="4" t="inlineStr">
        <is>
          <t>LTM Q2'26</t>
        </is>
      </c>
      <c r="G3" s="4" t="inlineStr">
        <is>
          <t>FY26E</t>
        </is>
      </c>
      <c r="H3" s="4" t="inlineStr">
        <is>
          <t>FY27E</t>
        </is>
      </c>
      <c r="I3" s="4" t="inlineStr">
        <is>
          <t>FY28E</t>
        </is>
      </c>
      <c r="J3" s="4" t="inlineStr">
        <is>
          <t>FY29E</t>
        </is>
      </c>
      <c r="K3" s="4" t="inlineStr">
        <is>
          <t>FY30E</t>
        </is>
      </c>
    </row>
    <row r="5" ht="15" customHeight="1" s="5">
      <c r="A5" s="4" t="inlineStr">
        <is>
          <t>OPERATING ACTIVITIES</t>
        </is>
      </c>
    </row>
    <row r="6" ht="15" customHeight="1" s="5">
      <c r="A6" s="4" t="inlineStr">
        <is>
          <t xml:space="preserve">  Net Income</t>
        </is>
      </c>
      <c r="B6" s="9">
        <f>'3STMT_IS'!B30</f>
        <v/>
      </c>
      <c r="C6" s="9">
        <f>'3STMT_IS'!C30</f>
        <v/>
      </c>
      <c r="D6" s="9">
        <f>'3STMT_IS'!D30</f>
        <v/>
      </c>
      <c r="E6" s="9">
        <f>'3STMT_IS'!E30</f>
        <v/>
      </c>
      <c r="F6" s="9">
        <f>'3STMT_IS'!F30</f>
        <v/>
      </c>
      <c r="G6" s="9">
        <f>'3STMT_IS'!G30</f>
        <v/>
      </c>
      <c r="H6" s="9">
        <f>'3STMT_IS'!H30</f>
        <v/>
      </c>
      <c r="I6" s="9">
        <f>'3STMT_IS'!I30</f>
        <v/>
      </c>
      <c r="J6" s="9">
        <f>'3STMT_IS'!J30</f>
        <v/>
      </c>
      <c r="K6" s="9">
        <f>'3STMT_IS'!K30</f>
        <v/>
      </c>
    </row>
    <row r="7" ht="15" customHeight="1" s="5">
      <c r="A7" s="4" t="inlineStr">
        <is>
          <t xml:space="preserve">  D&amp;A add-back</t>
        </is>
      </c>
      <c r="B7" s="9">
        <f>-'3STMT_IS'!B24</f>
        <v/>
      </c>
      <c r="C7" s="9">
        <f>-'3STMT_IS'!C24</f>
        <v/>
      </c>
      <c r="D7" s="9">
        <f>-'3STMT_IS'!D24</f>
        <v/>
      </c>
      <c r="E7" s="9">
        <f>-'3STMT_IS'!E24</f>
        <v/>
      </c>
      <c r="F7" s="9">
        <f>-'3STMT_IS'!F24</f>
        <v/>
      </c>
      <c r="G7" s="9">
        <f>-'3STMT_IS'!G24</f>
        <v/>
      </c>
      <c r="H7" s="9">
        <f>-'3STMT_IS'!H24</f>
        <v/>
      </c>
      <c r="I7" s="9">
        <f>-'3STMT_IS'!I24</f>
        <v/>
      </c>
      <c r="J7" s="9">
        <f>-'3STMT_IS'!J24</f>
        <v/>
      </c>
      <c r="K7" s="9">
        <f>-'3STMT_IS'!K24</f>
        <v/>
      </c>
    </row>
    <row r="8" ht="15" customHeight="1" s="5">
      <c r="A8" s="4" t="inlineStr">
        <is>
          <t xml:space="preserve">  Stock-Based Compensation</t>
        </is>
      </c>
      <c r="B8" s="9">
        <f>'3STMT_IS'!B9*'3STMT_ASSUMPTIONS'!B23</f>
        <v/>
      </c>
      <c r="C8" s="9">
        <f>'3STMT_IS'!C9*'3STMT_ASSUMPTIONS'!C23</f>
        <v/>
      </c>
      <c r="D8" s="9">
        <f>'3STMT_IS'!D9*'3STMT_ASSUMPTIONS'!D23</f>
        <v/>
      </c>
      <c r="E8" s="9">
        <f>'3STMT_IS'!E9*'3STMT_ASSUMPTIONS'!E23</f>
        <v/>
      </c>
      <c r="F8" s="9">
        <f>'3STMT_IS'!F9*'3STMT_ASSUMPTIONS'!F23</f>
        <v/>
      </c>
      <c r="G8" s="9">
        <f>'3STMT_IS'!G9*'3STMT_ASSUMPTIONS'!G23</f>
        <v/>
      </c>
      <c r="H8" s="9">
        <f>'3STMT_IS'!H9*'3STMT_ASSUMPTIONS'!H23</f>
        <v/>
      </c>
      <c r="I8" s="9">
        <f>'3STMT_IS'!I9*'3STMT_ASSUMPTIONS'!I23</f>
        <v/>
      </c>
      <c r="J8" s="9">
        <f>'3STMT_IS'!J9*'3STMT_ASSUMPTIONS'!J23</f>
        <v/>
      </c>
      <c r="K8" s="9">
        <f>'3STMT_IS'!K9*'3STMT_ASSUMPTIONS'!K23</f>
        <v/>
      </c>
    </row>
    <row r="9" ht="15" customHeight="1" s="5">
      <c r="A9" s="4" t="inlineStr">
        <is>
          <t xml:space="preserve">  Deferred Taxes</t>
        </is>
      </c>
      <c r="B9" s="8">
        <f>0</f>
        <v/>
      </c>
      <c r="C9" s="9">
        <f>'3STMT_BS'!C28-'3STMT_BS'!B28</f>
        <v/>
      </c>
      <c r="D9" s="9">
        <f>'3STMT_BS'!D28-'3STMT_BS'!C28</f>
        <v/>
      </c>
      <c r="E9" s="9">
        <f>'3STMT_BS'!E28-'3STMT_BS'!D28</f>
        <v/>
      </c>
      <c r="F9" s="9">
        <f>'3STMT_BS'!F28-'3STMT_BS'!E28</f>
        <v/>
      </c>
      <c r="G9" s="9">
        <f>'3STMT_BS'!G28-'3STMT_BS'!F28</f>
        <v/>
      </c>
      <c r="H9" s="9">
        <f>'3STMT_BS'!H28-'3STMT_BS'!G28</f>
        <v/>
      </c>
      <c r="I9" s="9">
        <f>'3STMT_BS'!I28-'3STMT_BS'!H28</f>
        <v/>
      </c>
      <c r="J9" s="9">
        <f>'3STMT_BS'!J28-'3STMT_BS'!I28</f>
        <v/>
      </c>
      <c r="K9" s="9">
        <f>'3STMT_BS'!K28-'3STMT_BS'!J28</f>
        <v/>
      </c>
    </row>
    <row r="10" ht="15" customHeight="1" s="5">
      <c r="A10" s="4" t="inlineStr">
        <is>
          <t xml:space="preserve">  Change in AR</t>
        </is>
      </c>
      <c r="B10" s="8">
        <f>0</f>
        <v/>
      </c>
      <c r="C10" s="9">
        <f>-('3STMT_BS'!C7-'3STMT_BS'!B7)</f>
        <v/>
      </c>
      <c r="D10" s="9">
        <f>-('3STMT_BS'!D7-'3STMT_BS'!C7)</f>
        <v/>
      </c>
      <c r="E10" s="9">
        <f>-('3STMT_BS'!E7-'3STMT_BS'!D7)</f>
        <v/>
      </c>
      <c r="F10" s="9">
        <f>-('3STMT_BS'!F7-'3STMT_BS'!E7)</f>
        <v/>
      </c>
      <c r="G10" s="9">
        <f>-('3STMT_BS'!G7-'3STMT_BS'!F7)</f>
        <v/>
      </c>
      <c r="H10" s="9">
        <f>-('3STMT_BS'!H7-'3STMT_BS'!G7)</f>
        <v/>
      </c>
      <c r="I10" s="9">
        <f>-('3STMT_BS'!I7-'3STMT_BS'!H7)</f>
        <v/>
      </c>
      <c r="J10" s="9">
        <f>-('3STMT_BS'!J7-'3STMT_BS'!I7)</f>
        <v/>
      </c>
      <c r="K10" s="9">
        <f>-('3STMT_BS'!K7-'3STMT_BS'!J7)</f>
        <v/>
      </c>
    </row>
    <row r="11" ht="15" customHeight="1" s="5">
      <c r="A11" s="4" t="inlineStr">
        <is>
          <t xml:space="preserve">  Change in Inventory</t>
        </is>
      </c>
      <c r="B11" s="8">
        <f>0</f>
        <v/>
      </c>
      <c r="C11" s="9">
        <f>-('3STMT_BS'!C8-'3STMT_BS'!B8)</f>
        <v/>
      </c>
      <c r="D11" s="9">
        <f>-('3STMT_BS'!D8-'3STMT_BS'!C8)</f>
        <v/>
      </c>
      <c r="E11" s="9">
        <f>-('3STMT_BS'!E8-'3STMT_BS'!D8)</f>
        <v/>
      </c>
      <c r="F11" s="9">
        <f>-('3STMT_BS'!F8-'3STMT_BS'!E8)</f>
        <v/>
      </c>
      <c r="G11" s="9">
        <f>-('3STMT_BS'!G8-'3STMT_BS'!F8)</f>
        <v/>
      </c>
      <c r="H11" s="9">
        <f>-('3STMT_BS'!H8-'3STMT_BS'!G8)</f>
        <v/>
      </c>
      <c r="I11" s="9">
        <f>-('3STMT_BS'!I8-'3STMT_BS'!H8)</f>
        <v/>
      </c>
      <c r="J11" s="9">
        <f>-('3STMT_BS'!J8-'3STMT_BS'!I8)</f>
        <v/>
      </c>
      <c r="K11" s="9">
        <f>-('3STMT_BS'!K8-'3STMT_BS'!J8)</f>
        <v/>
      </c>
    </row>
    <row r="12" ht="15" customHeight="1" s="5">
      <c r="A12" s="4" t="inlineStr">
        <is>
          <t xml:space="preserve">  Change in AP</t>
        </is>
      </c>
      <c r="B12" s="8">
        <f>0</f>
        <v/>
      </c>
      <c r="C12" s="9">
        <f>'3STMT_BS'!C18-'3STMT_BS'!B18</f>
        <v/>
      </c>
      <c r="D12" s="9">
        <f>'3STMT_BS'!D18-'3STMT_BS'!C18</f>
        <v/>
      </c>
      <c r="E12" s="9">
        <f>'3STMT_BS'!E18-'3STMT_BS'!D18</f>
        <v/>
      </c>
      <c r="F12" s="9">
        <f>'3STMT_BS'!F18-'3STMT_BS'!E18</f>
        <v/>
      </c>
      <c r="G12" s="9">
        <f>'3STMT_BS'!G18-'3STMT_BS'!F18</f>
        <v/>
      </c>
      <c r="H12" s="9">
        <f>'3STMT_BS'!H18-'3STMT_BS'!G18</f>
        <v/>
      </c>
      <c r="I12" s="9">
        <f>'3STMT_BS'!I18-'3STMT_BS'!H18</f>
        <v/>
      </c>
      <c r="J12" s="9">
        <f>'3STMT_BS'!J18-'3STMT_BS'!I18</f>
        <v/>
      </c>
      <c r="K12" s="9">
        <f>'3STMT_BS'!K18-'3STMT_BS'!J18</f>
        <v/>
      </c>
    </row>
    <row r="13" ht="15" customHeight="1" s="5">
      <c r="A13" s="4" t="inlineStr">
        <is>
          <t xml:space="preserve">  Change in Other WC</t>
        </is>
      </c>
      <c r="B13" s="8">
        <f>0</f>
        <v/>
      </c>
      <c r="C13" s="9">
        <f>-('3STMT_BS'!C9-'3STMT_BS'!B9)+('3STMT_BS'!C19-'3STMT_BS'!B19)+('3STMT_BS'!C21-'3STMT_BS'!B21)</f>
        <v/>
      </c>
      <c r="D13" s="9">
        <f>-('3STMT_BS'!D9-'3STMT_BS'!C9)+('3STMT_BS'!D19-'3STMT_BS'!C19)+('3STMT_BS'!D21-'3STMT_BS'!C21)</f>
        <v/>
      </c>
      <c r="E13" s="9">
        <f>-('3STMT_BS'!E9-'3STMT_BS'!D9)+('3STMT_BS'!E19-'3STMT_BS'!D19)+('3STMT_BS'!E21-'3STMT_BS'!D21)</f>
        <v/>
      </c>
      <c r="F13" s="9">
        <f>-('3STMT_BS'!F9-'3STMT_BS'!E9)+('3STMT_BS'!F19-'3STMT_BS'!E19)+('3STMT_BS'!F21-'3STMT_BS'!E21)</f>
        <v/>
      </c>
      <c r="G13" s="9">
        <f>-('3STMT_BS'!G9-'3STMT_BS'!F9)+('3STMT_BS'!G19-'3STMT_BS'!F19)+('3STMT_BS'!G21-'3STMT_BS'!F21)</f>
        <v/>
      </c>
      <c r="H13" s="9">
        <f>-('3STMT_BS'!H9-'3STMT_BS'!G9)+('3STMT_BS'!H19-'3STMT_BS'!G19)+('3STMT_BS'!H21-'3STMT_BS'!G21)</f>
        <v/>
      </c>
      <c r="I13" s="9">
        <f>-('3STMT_BS'!I9-'3STMT_BS'!H9)+('3STMT_BS'!I19-'3STMT_BS'!H19)+('3STMT_BS'!I21-'3STMT_BS'!H21)</f>
        <v/>
      </c>
      <c r="J13" s="9">
        <f>-('3STMT_BS'!J9-'3STMT_BS'!I9)+('3STMT_BS'!J19-'3STMT_BS'!I19)+('3STMT_BS'!J21-'3STMT_BS'!I21)</f>
        <v/>
      </c>
      <c r="K13" s="9">
        <f>-('3STMT_BS'!K9-'3STMT_BS'!J9)+('3STMT_BS'!K19-'3STMT_BS'!J19)+('3STMT_BS'!K21-'3STMT_BS'!J21)</f>
        <v/>
      </c>
    </row>
    <row r="14" ht="15" customHeight="1" s="5">
      <c r="A14" s="4" t="inlineStr">
        <is>
          <t>Cash from Operations</t>
        </is>
      </c>
      <c r="B14" s="8">
        <f>SUM(B6:B13)</f>
        <v/>
      </c>
      <c r="C14" s="8">
        <f>SUM(C6:C13)</f>
        <v/>
      </c>
      <c r="D14" s="8">
        <f>SUM(D6:D13)</f>
        <v/>
      </c>
      <c r="E14" s="8">
        <f>SUM(E6:E13)</f>
        <v/>
      </c>
      <c r="F14" s="8">
        <f>SUM(F6:F13)</f>
        <v/>
      </c>
      <c r="G14" s="8">
        <f>SUM(G6:G13)</f>
        <v/>
      </c>
      <c r="H14" s="8">
        <f>SUM(H6:H13)</f>
        <v/>
      </c>
      <c r="I14" s="8">
        <f>SUM(I6:I13)</f>
        <v/>
      </c>
      <c r="J14" s="8">
        <f>SUM(J6:J13)</f>
        <v/>
      </c>
      <c r="K14" s="8">
        <f>SUM(K6:K13)</f>
        <v/>
      </c>
    </row>
    <row r="16" ht="15" customHeight="1" s="5">
      <c r="A16" s="4" t="inlineStr">
        <is>
          <t>INVESTING ACTIVITIES</t>
        </is>
      </c>
    </row>
    <row r="17" ht="15" customHeight="1" s="5">
      <c r="A17" s="4" t="inlineStr">
        <is>
          <t xml:space="preserve">  CapEx</t>
        </is>
      </c>
      <c r="B17" s="9">
        <f>-'3STMT_IS'!B9*'3STMT_ASSUMPTIONS'!B26</f>
        <v/>
      </c>
      <c r="C17" s="9">
        <f>-'3STMT_IS'!C9*'3STMT_ASSUMPTIONS'!C26</f>
        <v/>
      </c>
      <c r="D17" s="9">
        <f>-'3STMT_IS'!D9*'3STMT_ASSUMPTIONS'!D26</f>
        <v/>
      </c>
      <c r="E17" s="9">
        <f>-'3STMT_IS'!E9*'3STMT_ASSUMPTIONS'!E26</f>
        <v/>
      </c>
      <c r="F17" s="9">
        <f>-'3STMT_IS'!F9*'3STMT_ASSUMPTIONS'!F26</f>
        <v/>
      </c>
      <c r="G17" s="9">
        <f>-'3STMT_IS'!G9*'3STMT_ASSUMPTIONS'!G26</f>
        <v/>
      </c>
      <c r="H17" s="9">
        <f>-'3STMT_IS'!H9*'3STMT_ASSUMPTIONS'!H26</f>
        <v/>
      </c>
      <c r="I17" s="9">
        <f>-'3STMT_IS'!I9*'3STMT_ASSUMPTIONS'!I26</f>
        <v/>
      </c>
      <c r="J17" s="9">
        <f>-'3STMT_IS'!J9*'3STMT_ASSUMPTIONS'!J26</f>
        <v/>
      </c>
      <c r="K17" s="9">
        <f>-'3STMT_IS'!K9*'3STMT_ASSUMPTIONS'!K26</f>
        <v/>
      </c>
    </row>
    <row r="18" ht="15" customHeight="1" s="5">
      <c r="A18" s="4" t="inlineStr">
        <is>
          <t xml:space="preserve">  Acquisitions (net of divestitures)</t>
        </is>
      </c>
      <c r="B18" s="9">
        <f>-'3STMT_ASSUMPTIONS'!B39</f>
        <v/>
      </c>
      <c r="C18" s="9">
        <f>-'3STMT_ASSUMPTIONS'!C39</f>
        <v/>
      </c>
      <c r="D18" s="9">
        <f>-'3STMT_ASSUMPTIONS'!D39</f>
        <v/>
      </c>
      <c r="E18" s="9">
        <f>-'3STMT_ASSUMPTIONS'!E39</f>
        <v/>
      </c>
      <c r="F18" s="9">
        <f>-'3STMT_ASSUMPTIONS'!F39</f>
        <v/>
      </c>
      <c r="G18" s="9">
        <f>-'3STMT_ASSUMPTIONS'!G39</f>
        <v/>
      </c>
      <c r="H18" s="9">
        <f>-'3STMT_ASSUMPTIONS'!H39</f>
        <v/>
      </c>
      <c r="I18" s="9">
        <f>-'3STMT_ASSUMPTIONS'!I39</f>
        <v/>
      </c>
      <c r="J18" s="9">
        <f>-'3STMT_ASSUMPTIONS'!J39</f>
        <v/>
      </c>
      <c r="K18" s="9">
        <f>-'3STMT_ASSUMPTIONS'!K39</f>
        <v/>
      </c>
    </row>
    <row r="19" ht="15" customHeight="1" s="5">
      <c r="A19" s="4" t="inlineStr">
        <is>
          <t xml:space="preserve">  Other Investing</t>
        </is>
      </c>
      <c r="B19" s="7" t="n">
        <v>-0.1</v>
      </c>
      <c r="C19" s="7" t="n">
        <v>-0.1</v>
      </c>
      <c r="D19" s="7" t="n">
        <v>-0.1</v>
      </c>
      <c r="E19" s="7" t="n">
        <v>-0.1</v>
      </c>
      <c r="F19" s="7" t="n">
        <v>-0.1</v>
      </c>
      <c r="G19" s="7" t="n">
        <v>-0.1</v>
      </c>
      <c r="H19" s="7" t="n">
        <v>-0.1</v>
      </c>
      <c r="I19" s="7" t="n">
        <v>-0.1</v>
      </c>
      <c r="J19" s="7" t="n">
        <v>-0.1</v>
      </c>
      <c r="K19" s="7" t="n">
        <v>-0.1</v>
      </c>
    </row>
    <row r="20" ht="15" customHeight="1" s="5">
      <c r="A20" s="4" t="inlineStr">
        <is>
          <t>Cash from Investing</t>
        </is>
      </c>
      <c r="B20" s="8">
        <f>SUM(B17:B19)</f>
        <v/>
      </c>
      <c r="C20" s="8">
        <f>SUM(C17:C19)</f>
        <v/>
      </c>
      <c r="D20" s="8">
        <f>SUM(D17:D19)</f>
        <v/>
      </c>
      <c r="E20" s="8">
        <f>SUM(E17:E19)</f>
        <v/>
      </c>
      <c r="F20" s="8">
        <f>SUM(F17:F19)</f>
        <v/>
      </c>
      <c r="G20" s="8">
        <f>SUM(G17:G19)</f>
        <v/>
      </c>
      <c r="H20" s="8">
        <f>SUM(H17:H19)</f>
        <v/>
      </c>
      <c r="I20" s="8">
        <f>SUM(I17:I19)</f>
        <v/>
      </c>
      <c r="J20" s="8">
        <f>SUM(J17:J19)</f>
        <v/>
      </c>
      <c r="K20" s="8">
        <f>SUM(K17:K19)</f>
        <v/>
      </c>
    </row>
    <row r="22" ht="15" customHeight="1" s="5">
      <c r="A22" s="4" t="inlineStr">
        <is>
          <t>FINANCING ACTIVITIES</t>
        </is>
      </c>
    </row>
    <row r="23" ht="15" customHeight="1" s="5">
      <c r="A23" s="4" t="inlineStr">
        <is>
          <t xml:space="preserve">  Debt Issuance / (Repayment)</t>
        </is>
      </c>
      <c r="B23" s="9">
        <f>'3STMT_DEBT'!B35</f>
        <v/>
      </c>
      <c r="C23" s="9">
        <f>'3STMT_DEBT'!C35</f>
        <v/>
      </c>
      <c r="D23" s="9">
        <f>'3STMT_DEBT'!D35</f>
        <v/>
      </c>
      <c r="E23" s="9">
        <f>'3STMT_DEBT'!E35</f>
        <v/>
      </c>
      <c r="F23" s="9">
        <f>'3STMT_DEBT'!F35</f>
        <v/>
      </c>
      <c r="G23" s="9">
        <f>'3STMT_DEBT'!G35</f>
        <v/>
      </c>
      <c r="H23" s="9">
        <f>'3STMT_DEBT'!H35</f>
        <v/>
      </c>
      <c r="I23" s="9">
        <f>'3STMT_DEBT'!I35</f>
        <v/>
      </c>
      <c r="J23" s="9">
        <f>'3STMT_DEBT'!J35</f>
        <v/>
      </c>
      <c r="K23" s="9">
        <f>'3STMT_DEBT'!K35</f>
        <v/>
      </c>
    </row>
    <row r="24" ht="15" customHeight="1" s="5">
      <c r="A24" s="4" t="inlineStr">
        <is>
          <t xml:space="preserve">  Share Buybacks</t>
        </is>
      </c>
      <c r="B24" s="9">
        <f>-'3STMT_ASSUMPTIONS'!B38</f>
        <v/>
      </c>
      <c r="C24" s="9">
        <f>-'3STMT_ASSUMPTIONS'!C38</f>
        <v/>
      </c>
      <c r="D24" s="9">
        <f>-'3STMT_ASSUMPTIONS'!D38</f>
        <v/>
      </c>
      <c r="E24" s="9">
        <f>-'3STMT_ASSUMPTIONS'!E38</f>
        <v/>
      </c>
      <c r="F24" s="9">
        <f>-'3STMT_ASSUMPTIONS'!F38</f>
        <v/>
      </c>
      <c r="G24" s="9">
        <f>-'3STMT_ASSUMPTIONS'!G38</f>
        <v/>
      </c>
      <c r="H24" s="9">
        <f>-'3STMT_ASSUMPTIONS'!H38</f>
        <v/>
      </c>
      <c r="I24" s="9">
        <f>-'3STMT_ASSUMPTIONS'!I38</f>
        <v/>
      </c>
      <c r="J24" s="9">
        <f>-'3STMT_ASSUMPTIONS'!J38</f>
        <v/>
      </c>
      <c r="K24" s="9">
        <f>-'3STMT_ASSUMPTIONS'!K38</f>
        <v/>
      </c>
    </row>
    <row r="25" ht="15" customHeight="1" s="5">
      <c r="A25" s="4" t="inlineStr">
        <is>
          <t xml:space="preserve">  Dividends Paid</t>
        </is>
      </c>
      <c r="B25" s="9">
        <f>-'3STMT_ASSUMPTIONS'!B37*'3STMT_ASSUMPTIONS'!B36/1000</f>
        <v/>
      </c>
      <c r="C25" s="9">
        <f>-'3STMT_ASSUMPTIONS'!C37*'3STMT_ASSUMPTIONS'!C36/1000</f>
        <v/>
      </c>
      <c r="D25" s="9">
        <f>-'3STMT_ASSUMPTIONS'!D37*'3STMT_ASSUMPTIONS'!D36/1000</f>
        <v/>
      </c>
      <c r="E25" s="9">
        <f>-'3STMT_ASSUMPTIONS'!E37*'3STMT_ASSUMPTIONS'!E36/1000</f>
        <v/>
      </c>
      <c r="F25" s="9">
        <f>-'3STMT_ASSUMPTIONS'!F37*'3STMT_ASSUMPTIONS'!F36/1000</f>
        <v/>
      </c>
      <c r="G25" s="9">
        <f>-'3STMT_ASSUMPTIONS'!G37*'3STMT_ASSUMPTIONS'!G36/1000</f>
        <v/>
      </c>
      <c r="H25" s="9">
        <f>-'3STMT_ASSUMPTIONS'!H37*'3STMT_ASSUMPTIONS'!H36/1000</f>
        <v/>
      </c>
      <c r="I25" s="9">
        <f>-'3STMT_ASSUMPTIONS'!I37*'3STMT_ASSUMPTIONS'!I36/1000</f>
        <v/>
      </c>
      <c r="J25" s="9">
        <f>-'3STMT_ASSUMPTIONS'!J37*'3STMT_ASSUMPTIONS'!J36/1000</f>
        <v/>
      </c>
      <c r="K25" s="9">
        <f>-'3STMT_ASSUMPTIONS'!K37*'3STMT_ASSUMPTIONS'!K36/1000</f>
        <v/>
      </c>
    </row>
    <row r="26" ht="15" customHeight="1" s="5">
      <c r="A26" s="4" t="inlineStr">
        <is>
          <t xml:space="preserve">  Other Financing (hist. plug)</t>
        </is>
      </c>
      <c r="B26" s="9">
        <f>'3STMT_BS'!B6-'3STMT_ASSUMPTIONS'!B52-B14-B20-B23-B24-B25</f>
        <v/>
      </c>
      <c r="C26" s="9">
        <f>'3STMT_BS'!C6-'3STMT_BS'!B6-C14-C20-C23-C24-C25</f>
        <v/>
      </c>
      <c r="D26" s="9">
        <f>'3STMT_BS'!D6-'3STMT_BS'!C6-D14-D20-D23-D24-D25</f>
        <v/>
      </c>
      <c r="E26" s="9">
        <f>'3STMT_BS'!E6-'3STMT_BS'!D6-E14-E20-E23-E24-E25</f>
        <v/>
      </c>
      <c r="F26" s="9">
        <f>'3STMT_BS'!F6-'3STMT_BS'!E6-F14-F20-F23-F24-F25</f>
        <v/>
      </c>
      <c r="G26" s="7" t="n">
        <v>0</v>
      </c>
      <c r="H26" s="7" t="n">
        <v>0</v>
      </c>
      <c r="I26" s="7" t="n">
        <v>0</v>
      </c>
      <c r="J26" s="7" t="n">
        <v>0</v>
      </c>
      <c r="K26" s="7" t="n">
        <v>0</v>
      </c>
    </row>
    <row r="27" ht="15" customHeight="1" s="5">
      <c r="A27" s="4" t="inlineStr">
        <is>
          <t>Cash from Financing</t>
        </is>
      </c>
      <c r="B27" s="8">
        <f>SUM(B23:B26)</f>
        <v/>
      </c>
      <c r="C27" s="8">
        <f>SUM(C23:C26)</f>
        <v/>
      </c>
      <c r="D27" s="8">
        <f>SUM(D23:D26)</f>
        <v/>
      </c>
      <c r="E27" s="8">
        <f>SUM(E23:E26)</f>
        <v/>
      </c>
      <c r="F27" s="8">
        <f>SUM(F23:F26)</f>
        <v/>
      </c>
      <c r="G27" s="8">
        <f>SUM(G23:G26)</f>
        <v/>
      </c>
      <c r="H27" s="8">
        <f>SUM(H23:H26)</f>
        <v/>
      </c>
      <c r="I27" s="8">
        <f>SUM(I23:I26)</f>
        <v/>
      </c>
      <c r="J27" s="8">
        <f>SUM(J23:J26)</f>
        <v/>
      </c>
      <c r="K27" s="8">
        <f>SUM(K23:K26)</f>
        <v/>
      </c>
    </row>
    <row r="29" ht="15" customHeight="1" s="5">
      <c r="A29" s="4" t="inlineStr">
        <is>
          <t>NET CHANGE IN CASH</t>
        </is>
      </c>
    </row>
    <row r="30" ht="15" customHeight="1" s="5">
      <c r="A30" s="4" t="inlineStr">
        <is>
          <t>Net Change in Cash</t>
        </is>
      </c>
      <c r="B30" s="8">
        <f>B14+B20+B27</f>
        <v/>
      </c>
      <c r="C30" s="8">
        <f>C14+C20+C27</f>
        <v/>
      </c>
      <c r="D30" s="8">
        <f>D14+D20+D27</f>
        <v/>
      </c>
      <c r="E30" s="8">
        <f>E14+E20+E27</f>
        <v/>
      </c>
      <c r="F30" s="8">
        <f>F14+F20+F27</f>
        <v/>
      </c>
      <c r="G30" s="8">
        <f>G14+G20+G27</f>
        <v/>
      </c>
      <c r="H30" s="8">
        <f>H14+H20+H27</f>
        <v/>
      </c>
      <c r="I30" s="8">
        <f>I14+I20+I27</f>
        <v/>
      </c>
      <c r="J30" s="8">
        <f>J14+J20+J27</f>
        <v/>
      </c>
      <c r="K30" s="8">
        <f>K14+K20+K27</f>
        <v/>
      </c>
    </row>
    <row r="31" ht="15" customHeight="1" s="5">
      <c r="A31" s="4" t="inlineStr">
        <is>
          <t xml:space="preserve">  Beginning Cash</t>
        </is>
      </c>
      <c r="B31" s="9">
        <f>'3STMT_ASSUMPTIONS'!B52</f>
        <v/>
      </c>
      <c r="C31" s="8">
        <f>B32</f>
        <v/>
      </c>
      <c r="D31" s="8">
        <f>C32</f>
        <v/>
      </c>
      <c r="E31" s="8">
        <f>D32</f>
        <v/>
      </c>
      <c r="F31" s="8">
        <f>E32</f>
        <v/>
      </c>
      <c r="G31" s="8">
        <f>F32</f>
        <v/>
      </c>
      <c r="H31" s="8">
        <f>G32</f>
        <v/>
      </c>
      <c r="I31" s="8">
        <f>H32</f>
        <v/>
      </c>
      <c r="J31" s="8">
        <f>I32</f>
        <v/>
      </c>
      <c r="K31" s="8">
        <f>J32</f>
        <v/>
      </c>
    </row>
    <row r="32" ht="15" customHeight="1" s="5">
      <c r="A32" s="4" t="inlineStr">
        <is>
          <t>Ending Cash</t>
        </is>
      </c>
      <c r="B32" s="9">
        <f>'3STMT_BS'!B6</f>
        <v/>
      </c>
      <c r="C32" s="9">
        <f>'3STMT_BS'!C6</f>
        <v/>
      </c>
      <c r="D32" s="9">
        <f>'3STMT_BS'!D6</f>
        <v/>
      </c>
      <c r="E32" s="9">
        <f>'3STMT_BS'!E6</f>
        <v/>
      </c>
      <c r="F32" s="9">
        <f>'3STMT_BS'!F6</f>
        <v/>
      </c>
      <c r="G32" s="8">
        <f>G31+G30</f>
        <v/>
      </c>
      <c r="H32" s="8">
        <f>H31+H30</f>
        <v/>
      </c>
      <c r="I32" s="8">
        <f>I31+I30</f>
        <v/>
      </c>
      <c r="J32" s="8">
        <f>J31+J30</f>
        <v/>
      </c>
      <c r="K32" s="8">
        <f>K31+K30</f>
        <v/>
      </c>
    </row>
    <row r="34" ht="15" customHeight="1" s="5">
      <c r="A34" s="4" t="inlineStr">
        <is>
          <t>RECONCILIATION</t>
        </is>
      </c>
    </row>
    <row r="35" ht="15" customHeight="1" s="5">
      <c r="A35" s="4" t="inlineStr">
        <is>
          <t>CF Ending Cash − BS Cash = 0</t>
        </is>
      </c>
      <c r="B35" s="9">
        <f>B32-'3STMT_BS'!B6</f>
        <v/>
      </c>
      <c r="C35" s="9">
        <f>C32-'3STMT_BS'!C6</f>
        <v/>
      </c>
      <c r="D35" s="9">
        <f>D32-'3STMT_BS'!D6</f>
        <v/>
      </c>
      <c r="E35" s="9">
        <f>E32-'3STMT_BS'!E6</f>
        <v/>
      </c>
      <c r="F35" s="9">
        <f>F32-'3STMT_BS'!F6</f>
        <v/>
      </c>
      <c r="G35" s="9">
        <f>G32-'3STMT_BS'!G6</f>
        <v/>
      </c>
      <c r="H35" s="9">
        <f>H32-'3STMT_BS'!H6</f>
        <v/>
      </c>
      <c r="I35" s="9">
        <f>I32-'3STMT_BS'!I6</f>
        <v/>
      </c>
      <c r="J35" s="9">
        <f>J32-'3STMT_BS'!J6</f>
        <v/>
      </c>
      <c r="K35" s="9">
        <f>K32-'3STMT_BS'!K6</f>
        <v/>
      </c>
    </row>
    <row r="36" ht="15" customHeight="1" s="5">
      <c r="A36" s="4" t="inlineStr">
        <is>
          <t>Free Cash Flow (OCF - CapEx)</t>
        </is>
      </c>
      <c r="B36" s="8">
        <f>B14+B17</f>
        <v/>
      </c>
      <c r="C36" s="8">
        <f>C14+C17</f>
        <v/>
      </c>
      <c r="D36" s="8">
        <f>D14+D17</f>
        <v/>
      </c>
      <c r="E36" s="8">
        <f>E14+E17</f>
        <v/>
      </c>
      <c r="F36" s="8">
        <f>F14+F17</f>
        <v/>
      </c>
      <c r="G36" s="8">
        <f>G14+G17</f>
        <v/>
      </c>
      <c r="H36" s="8">
        <f>H14+H17</f>
        <v/>
      </c>
      <c r="I36" s="8">
        <f>I14+I17</f>
        <v/>
      </c>
      <c r="J36" s="8">
        <f>J14+J17</f>
        <v/>
      </c>
      <c r="K36" s="8">
        <f>K14+K17</f>
        <v/>
      </c>
    </row>
  </sheetData>
  <mergeCells count="1">
    <mergeCell ref="A1:K1"/>
  </mergeCells>
  <printOptions horizontalCentered="1" verticalCentered="0" headings="0" gridLines="0" gridLinesSet="1"/>
  <pageMargins left="0.5" right="0.5" top="0.5" bottom="0.5" header="0.3" footer="0.3"/>
  <pageSetup orientation="landscape" paperSize="1" scale="100" fitToHeight="0" fitToWidth="1" pageOrder="downThenOver" blackAndWhite="0" draft="0" horizontalDpi="300" verticalDpi="300" copies="1"/>
  <headerFooter differentOddEven="0" differentFirst="0">
    <oddHeader>&amp;L&amp;8 &amp;K3C3F453STMT_CF&amp;C&amp;K0d27473STMT_CF&amp;R&amp;8 &amp;KC89000BARATELLI INSTITUTE  *  MENTORING AT SCALE</oddHeader>
    <oddFooter>&amp;L&amp;8 &amp;K3C3F45baratelliinstitute.com&amp;C&amp;8 &amp;K3C3F45Page &amp;P of &amp;N&amp;R&amp;8 &amp;K3C3F45Danaher Compounder 2026</oddFooter>
    <evenHeader/>
    <evenFooter/>
    <firstHeader/>
    <firstFooter/>
  </headerFooter>
</worksheet>
</file>

<file path=xl/worksheets/sheet27.xml><?xml version="1.0" encoding="utf-8"?>
<worksheet xmlns="http://schemas.openxmlformats.org/spreadsheetml/2006/main">
  <sheetPr filterMode="0">
    <outlinePr summaryBelow="1" summaryRight="1"/>
    <pageSetUpPr fitToPage="1"/>
  </sheetPr>
  <dimension ref="A1:K17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baseColWidth="8" defaultColWidth="8.6796875" defaultRowHeight="15" customHeight="0" zeroHeight="0" outlineLevelRow="0"/>
  <cols>
    <col width="40" customWidth="1" style="4" min="1" max="1"/>
    <col width="12" customWidth="1" style="4" min="2" max="11"/>
  </cols>
  <sheetData>
    <row r="1" ht="15" customHeight="1" s="5">
      <c r="A1" s="4" t="inlineStr">
        <is>
          <t>DANAHER — WORKING CAPITAL SCHEDULE</t>
        </is>
      </c>
    </row>
    <row r="3" ht="15" customHeight="1" s="5">
      <c r="A3" s="4" t="inlineStr">
        <is>
          <t>($B unless noted)</t>
        </is>
      </c>
      <c r="B3" s="4" t="inlineStr">
        <is>
          <t>FY22A</t>
        </is>
      </c>
      <c r="C3" s="4" t="inlineStr">
        <is>
          <t>FY23A</t>
        </is>
      </c>
      <c r="D3" s="4" t="inlineStr">
        <is>
          <t>FY24A</t>
        </is>
      </c>
      <c r="E3" s="4" t="inlineStr">
        <is>
          <t>FY25A</t>
        </is>
      </c>
      <c r="F3" s="4" t="inlineStr">
        <is>
          <t>LTM Q2'26</t>
        </is>
      </c>
      <c r="G3" s="4" t="inlineStr">
        <is>
          <t>FY26E</t>
        </is>
      </c>
      <c r="H3" s="4" t="inlineStr">
        <is>
          <t>FY27E</t>
        </is>
      </c>
      <c r="I3" s="4" t="inlineStr">
        <is>
          <t>FY28E</t>
        </is>
      </c>
      <c r="J3" s="4" t="inlineStr">
        <is>
          <t>FY29E</t>
        </is>
      </c>
      <c r="K3" s="4" t="inlineStr">
        <is>
          <t>FY30E</t>
        </is>
      </c>
    </row>
    <row r="5" ht="15" customHeight="1" s="5">
      <c r="A5" s="4" t="inlineStr">
        <is>
          <t>DAYS METRICS</t>
        </is>
      </c>
    </row>
    <row r="6" ht="15" customHeight="1" s="5">
      <c r="A6" s="4" t="inlineStr">
        <is>
          <t xml:space="preserve">  DSO (days)</t>
        </is>
      </c>
      <c r="B6" s="9">
        <f>'3STMT_ASSUMPTIONS'!B27</f>
        <v/>
      </c>
      <c r="C6" s="9">
        <f>'3STMT_ASSUMPTIONS'!C27</f>
        <v/>
      </c>
      <c r="D6" s="9">
        <f>'3STMT_ASSUMPTIONS'!D27</f>
        <v/>
      </c>
      <c r="E6" s="9">
        <f>'3STMT_ASSUMPTIONS'!E27</f>
        <v/>
      </c>
      <c r="F6" s="9">
        <f>'3STMT_ASSUMPTIONS'!F27</f>
        <v/>
      </c>
      <c r="G6" s="9">
        <f>'3STMT_ASSUMPTIONS'!G27</f>
        <v/>
      </c>
      <c r="H6" s="9">
        <f>'3STMT_ASSUMPTIONS'!H27</f>
        <v/>
      </c>
      <c r="I6" s="9">
        <f>'3STMT_ASSUMPTIONS'!I27</f>
        <v/>
      </c>
      <c r="J6" s="9">
        <f>'3STMT_ASSUMPTIONS'!J27</f>
        <v/>
      </c>
      <c r="K6" s="9">
        <f>'3STMT_ASSUMPTIONS'!K27</f>
        <v/>
      </c>
    </row>
    <row r="7" ht="15" customHeight="1" s="5">
      <c r="A7" s="4" t="inlineStr">
        <is>
          <t xml:space="preserve">  DIO (days)</t>
        </is>
      </c>
      <c r="B7" s="9">
        <f>'3STMT_ASSUMPTIONS'!B28</f>
        <v/>
      </c>
      <c r="C7" s="9">
        <f>'3STMT_ASSUMPTIONS'!C28</f>
        <v/>
      </c>
      <c r="D7" s="9">
        <f>'3STMT_ASSUMPTIONS'!D28</f>
        <v/>
      </c>
      <c r="E7" s="9">
        <f>'3STMT_ASSUMPTIONS'!E28</f>
        <v/>
      </c>
      <c r="F7" s="9">
        <f>'3STMT_ASSUMPTIONS'!F28</f>
        <v/>
      </c>
      <c r="G7" s="9">
        <f>'3STMT_ASSUMPTIONS'!G28</f>
        <v/>
      </c>
      <c r="H7" s="9">
        <f>'3STMT_ASSUMPTIONS'!H28</f>
        <v/>
      </c>
      <c r="I7" s="9">
        <f>'3STMT_ASSUMPTIONS'!I28</f>
        <v/>
      </c>
      <c r="J7" s="9">
        <f>'3STMT_ASSUMPTIONS'!J28</f>
        <v/>
      </c>
      <c r="K7" s="9">
        <f>'3STMT_ASSUMPTIONS'!K28</f>
        <v/>
      </c>
    </row>
    <row r="8" ht="15" customHeight="1" s="5">
      <c r="A8" s="4" t="inlineStr">
        <is>
          <t xml:space="preserve">  DPO (days)</t>
        </is>
      </c>
      <c r="B8" s="9">
        <f>'3STMT_ASSUMPTIONS'!B29</f>
        <v/>
      </c>
      <c r="C8" s="9">
        <f>'3STMT_ASSUMPTIONS'!C29</f>
        <v/>
      </c>
      <c r="D8" s="9">
        <f>'3STMT_ASSUMPTIONS'!D29</f>
        <v/>
      </c>
      <c r="E8" s="9">
        <f>'3STMT_ASSUMPTIONS'!E29</f>
        <v/>
      </c>
      <c r="F8" s="9">
        <f>'3STMT_ASSUMPTIONS'!F29</f>
        <v/>
      </c>
      <c r="G8" s="9">
        <f>'3STMT_ASSUMPTIONS'!G29</f>
        <v/>
      </c>
      <c r="H8" s="9">
        <f>'3STMT_ASSUMPTIONS'!H29</f>
        <v/>
      </c>
      <c r="I8" s="9">
        <f>'3STMT_ASSUMPTIONS'!I29</f>
        <v/>
      </c>
      <c r="J8" s="9">
        <f>'3STMT_ASSUMPTIONS'!J29</f>
        <v/>
      </c>
      <c r="K8" s="9">
        <f>'3STMT_ASSUMPTIONS'!K29</f>
        <v/>
      </c>
    </row>
    <row r="9" ht="15" customHeight="1" s="5">
      <c r="A9" s="4" t="inlineStr">
        <is>
          <t>Cash Conversion Cycle (days)</t>
        </is>
      </c>
      <c r="B9" s="8">
        <f>B6+B7-B8</f>
        <v/>
      </c>
      <c r="C9" s="8">
        <f>C6+C7-C8</f>
        <v/>
      </c>
      <c r="D9" s="8">
        <f>D6+D7-D8</f>
        <v/>
      </c>
      <c r="E9" s="8">
        <f>E6+E7-E8</f>
        <v/>
      </c>
      <c r="F9" s="8">
        <f>F6+F7-F8</f>
        <v/>
      </c>
      <c r="G9" s="8">
        <f>G6+G7-G8</f>
        <v/>
      </c>
      <c r="H9" s="8">
        <f>H6+H7-H8</f>
        <v/>
      </c>
      <c r="I9" s="8">
        <f>I6+I7-I8</f>
        <v/>
      </c>
      <c r="J9" s="8">
        <f>J6+J7-J8</f>
        <v/>
      </c>
      <c r="K9" s="8">
        <f>K6+K7-K8</f>
        <v/>
      </c>
    </row>
    <row r="11" ht="15" customHeight="1" s="5">
      <c r="A11" s="4" t="inlineStr">
        <is>
          <t>WORKING CAPITAL BALANCES ($B)</t>
        </is>
      </c>
    </row>
    <row r="12" ht="15" customHeight="1" s="5">
      <c r="A12" s="4" t="inlineStr">
        <is>
          <t xml:space="preserve">  Accounts Receivable</t>
        </is>
      </c>
      <c r="B12" s="9">
        <f>'3STMT_BS'!B7</f>
        <v/>
      </c>
      <c r="C12" s="9">
        <f>'3STMT_BS'!C7</f>
        <v/>
      </c>
      <c r="D12" s="9">
        <f>'3STMT_BS'!D7</f>
        <v/>
      </c>
      <c r="E12" s="9">
        <f>'3STMT_BS'!E7</f>
        <v/>
      </c>
      <c r="F12" s="9">
        <f>'3STMT_BS'!F7</f>
        <v/>
      </c>
      <c r="G12" s="9">
        <f>'3STMT_BS'!G7</f>
        <v/>
      </c>
      <c r="H12" s="9">
        <f>'3STMT_BS'!H7</f>
        <v/>
      </c>
      <c r="I12" s="9">
        <f>'3STMT_BS'!I7</f>
        <v/>
      </c>
      <c r="J12" s="9">
        <f>'3STMT_BS'!J7</f>
        <v/>
      </c>
      <c r="K12" s="9">
        <f>'3STMT_BS'!K7</f>
        <v/>
      </c>
    </row>
    <row r="13" ht="15" customHeight="1" s="5">
      <c r="A13" s="4" t="inlineStr">
        <is>
          <t xml:space="preserve">  Inventory</t>
        </is>
      </c>
      <c r="B13" s="9">
        <f>'3STMT_BS'!B8</f>
        <v/>
      </c>
      <c r="C13" s="9">
        <f>'3STMT_BS'!C8</f>
        <v/>
      </c>
      <c r="D13" s="9">
        <f>'3STMT_BS'!D8</f>
        <v/>
      </c>
      <c r="E13" s="9">
        <f>'3STMT_BS'!E8</f>
        <v/>
      </c>
      <c r="F13" s="9">
        <f>'3STMT_BS'!F8</f>
        <v/>
      </c>
      <c r="G13" s="9">
        <f>'3STMT_BS'!G8</f>
        <v/>
      </c>
      <c r="H13" s="9">
        <f>'3STMT_BS'!H8</f>
        <v/>
      </c>
      <c r="I13" s="9">
        <f>'3STMT_BS'!I8</f>
        <v/>
      </c>
      <c r="J13" s="9">
        <f>'3STMT_BS'!J8</f>
        <v/>
      </c>
      <c r="K13" s="9">
        <f>'3STMT_BS'!K8</f>
        <v/>
      </c>
    </row>
    <row r="14" ht="15" customHeight="1" s="5">
      <c r="A14" s="4" t="inlineStr">
        <is>
          <t xml:space="preserve">  Accounts Payable</t>
        </is>
      </c>
      <c r="B14" s="9">
        <f>'3STMT_BS'!B18</f>
        <v/>
      </c>
      <c r="C14" s="9">
        <f>'3STMT_BS'!C18</f>
        <v/>
      </c>
      <c r="D14" s="9">
        <f>'3STMT_BS'!D18</f>
        <v/>
      </c>
      <c r="E14" s="9">
        <f>'3STMT_BS'!E18</f>
        <v/>
      </c>
      <c r="F14" s="9">
        <f>'3STMT_BS'!F18</f>
        <v/>
      </c>
      <c r="G14" s="9">
        <f>'3STMT_BS'!G18</f>
        <v/>
      </c>
      <c r="H14" s="9">
        <f>'3STMT_BS'!H18</f>
        <v/>
      </c>
      <c r="I14" s="9">
        <f>'3STMT_BS'!I18</f>
        <v/>
      </c>
      <c r="J14" s="9">
        <f>'3STMT_BS'!J18</f>
        <v/>
      </c>
      <c r="K14" s="9">
        <f>'3STMT_BS'!K18</f>
        <v/>
      </c>
    </row>
    <row r="15" ht="15" customHeight="1" s="5">
      <c r="A15" s="4" t="inlineStr">
        <is>
          <t>Net Working Capital</t>
        </is>
      </c>
      <c r="B15" s="8">
        <f>B12+B13-B14</f>
        <v/>
      </c>
      <c r="C15" s="8">
        <f>C12+C13-C14</f>
        <v/>
      </c>
      <c r="D15" s="8">
        <f>D12+D13-D14</f>
        <v/>
      </c>
      <c r="E15" s="8">
        <f>E12+E13-E14</f>
        <v/>
      </c>
      <c r="F15" s="8">
        <f>F12+F13-F14</f>
        <v/>
      </c>
      <c r="G15" s="8">
        <f>G12+G13-G14</f>
        <v/>
      </c>
      <c r="H15" s="8">
        <f>H12+H13-H14</f>
        <v/>
      </c>
      <c r="I15" s="8">
        <f>I12+I13-I14</f>
        <v/>
      </c>
      <c r="J15" s="8">
        <f>J12+J13-J14</f>
        <v/>
      </c>
      <c r="K15" s="8">
        <f>K12+K13-K14</f>
        <v/>
      </c>
    </row>
    <row r="16" ht="15" customHeight="1" s="5">
      <c r="A16" s="4" t="inlineStr">
        <is>
          <t>Change in NWC</t>
        </is>
      </c>
      <c r="B16" s="8">
        <f>0</f>
        <v/>
      </c>
      <c r="C16" s="8">
        <f>C15-B15</f>
        <v/>
      </c>
      <c r="D16" s="8">
        <f>D15-C15</f>
        <v/>
      </c>
      <c r="E16" s="8">
        <f>E15-D15</f>
        <v/>
      </c>
      <c r="F16" s="8">
        <f>F15-E15</f>
        <v/>
      </c>
      <c r="G16" s="8">
        <f>G15-F15</f>
        <v/>
      </c>
      <c r="H16" s="8">
        <f>H15-G15</f>
        <v/>
      </c>
      <c r="I16" s="8">
        <f>I15-H15</f>
        <v/>
      </c>
      <c r="J16" s="8">
        <f>J15-I15</f>
        <v/>
      </c>
      <c r="K16" s="8">
        <f>K15-J15</f>
        <v/>
      </c>
    </row>
    <row r="17" ht="15" customHeight="1" s="5">
      <c r="A17" s="4" t="inlineStr">
        <is>
          <t xml:space="preserve">  NWC as % revenue</t>
        </is>
      </c>
      <c r="B17" s="9">
        <f>B15/'3STMT_IS'!B9</f>
        <v/>
      </c>
      <c r="C17" s="9">
        <f>C15/'3STMT_IS'!C9</f>
        <v/>
      </c>
      <c r="D17" s="9">
        <f>D15/'3STMT_IS'!D9</f>
        <v/>
      </c>
      <c r="E17" s="9">
        <f>E15/'3STMT_IS'!E9</f>
        <v/>
      </c>
      <c r="F17" s="9">
        <f>F15/'3STMT_IS'!F9</f>
        <v/>
      </c>
      <c r="G17" s="9">
        <f>G15/'3STMT_IS'!G9</f>
        <v/>
      </c>
      <c r="H17" s="9">
        <f>H15/'3STMT_IS'!H9</f>
        <v/>
      </c>
      <c r="I17" s="9">
        <f>I15/'3STMT_IS'!I9</f>
        <v/>
      </c>
      <c r="J17" s="9">
        <f>J15/'3STMT_IS'!J9</f>
        <v/>
      </c>
      <c r="K17" s="9">
        <f>K15/'3STMT_IS'!K9</f>
        <v/>
      </c>
    </row>
  </sheetData>
  <mergeCells count="1">
    <mergeCell ref="A1:K1"/>
  </mergeCells>
  <printOptions horizontalCentered="1" verticalCentered="0" headings="0" gridLines="0" gridLinesSet="1"/>
  <pageMargins left="0.5" right="0.5" top="0.5" bottom="0.5" header="0.3" footer="0.3"/>
  <pageSetup orientation="landscape" paperSize="1" scale="100" fitToHeight="0" fitToWidth="1" pageOrder="downThenOver" blackAndWhite="0" draft="0" horizontalDpi="300" verticalDpi="300" copies="1"/>
  <headerFooter differentOddEven="0" differentFirst="0">
    <oddHeader>&amp;L&amp;8 &amp;K3C3F453STMT_WC&amp;C&amp;K0d27473STMT_WC&amp;R&amp;8 &amp;KC89000BARATELLI INSTITUTE  *  MENTORING AT SCALE</oddHeader>
    <oddFooter>&amp;L&amp;8 &amp;K3C3F45baratelliinstitute.com&amp;C&amp;8 &amp;K3C3F45Page &amp;P of &amp;N&amp;R&amp;8 &amp;K3C3F45Danaher Compounder 2026</oddFooter>
    <evenHeader/>
    <evenFooter/>
    <firstHeader/>
    <firstFooter/>
  </headerFooter>
</worksheet>
</file>

<file path=xl/worksheets/sheet28.xml><?xml version="1.0" encoding="utf-8"?>
<worksheet xmlns="http://schemas.openxmlformats.org/spreadsheetml/2006/main">
  <sheetPr filterMode="0">
    <outlinePr summaryBelow="1" summaryRight="1"/>
    <pageSetUpPr fitToPage="1"/>
  </sheetPr>
  <dimension ref="A1:K41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baseColWidth="8" defaultColWidth="8.6796875" defaultRowHeight="15" customHeight="0" zeroHeight="0" outlineLevelRow="0"/>
  <cols>
    <col width="40" customWidth="1" style="4" min="1" max="1"/>
    <col width="12" customWidth="1" style="4" min="2" max="11"/>
  </cols>
  <sheetData>
    <row r="1" ht="15" customHeight="1" s="5">
      <c r="A1" s="4" t="inlineStr">
        <is>
          <t>DANAHER — DEBT SCHEDULE WITH CASH SWEEP</t>
        </is>
      </c>
    </row>
    <row r="3" ht="15" customHeight="1" s="5">
      <c r="A3" s="4" t="inlineStr">
        <is>
          <t>($B unless noted)</t>
        </is>
      </c>
      <c r="B3" s="4" t="inlineStr">
        <is>
          <t>FY22A</t>
        </is>
      </c>
      <c r="C3" s="4" t="inlineStr">
        <is>
          <t>FY23A</t>
        </is>
      </c>
      <c r="D3" s="4" t="inlineStr">
        <is>
          <t>FY24A</t>
        </is>
      </c>
      <c r="E3" s="4" t="inlineStr">
        <is>
          <t>FY25A</t>
        </is>
      </c>
      <c r="F3" s="4" t="inlineStr">
        <is>
          <t>LTM Q2'26</t>
        </is>
      </c>
      <c r="G3" s="4" t="inlineStr">
        <is>
          <t>FY26E</t>
        </is>
      </c>
      <c r="H3" s="4" t="inlineStr">
        <is>
          <t>FY27E</t>
        </is>
      </c>
      <c r="I3" s="4" t="inlineStr">
        <is>
          <t>FY28E</t>
        </is>
      </c>
      <c r="J3" s="4" t="inlineStr">
        <is>
          <t>FY29E</t>
        </is>
      </c>
      <c r="K3" s="4" t="inlineStr">
        <is>
          <t>FY30E</t>
        </is>
      </c>
    </row>
    <row r="5" ht="15" customHeight="1" s="5">
      <c r="A5" s="4" t="inlineStr">
        <is>
          <t>REVOLVER</t>
        </is>
      </c>
    </row>
    <row r="6" ht="15" customHeight="1" s="5">
      <c r="A6" s="4" t="inlineStr">
        <is>
          <t xml:space="preserve">  Opening balance</t>
        </is>
      </c>
      <c r="B6" s="9">
        <f>'3STMT_ASSUMPTIONS'!B42</f>
        <v/>
      </c>
      <c r="C6" s="8">
        <f>B9</f>
        <v/>
      </c>
      <c r="D6" s="8">
        <f>C9</f>
        <v/>
      </c>
      <c r="E6" s="8">
        <f>D9</f>
        <v/>
      </c>
      <c r="F6" s="8">
        <f>E9</f>
        <v/>
      </c>
      <c r="G6" s="8">
        <f>F9</f>
        <v/>
      </c>
      <c r="H6" s="8">
        <f>G9</f>
        <v/>
      </c>
      <c r="I6" s="8">
        <f>H9</f>
        <v/>
      </c>
      <c r="J6" s="8">
        <f>I9</f>
        <v/>
      </c>
      <c r="K6" s="8">
        <f>J9</f>
        <v/>
      </c>
    </row>
    <row r="7" ht="15" customHeight="1" s="5">
      <c r="A7" s="4" t="inlineStr">
        <is>
          <t xml:space="preserve">  Drawings</t>
        </is>
      </c>
      <c r="B7" s="7" t="n">
        <v>0</v>
      </c>
      <c r="C7" s="7" t="n">
        <v>0</v>
      </c>
      <c r="D7" s="7" t="n">
        <v>0</v>
      </c>
      <c r="E7" s="7" t="n">
        <v>0</v>
      </c>
      <c r="F7" s="7" t="n">
        <v>0</v>
      </c>
      <c r="G7" s="7" t="n">
        <v>0</v>
      </c>
      <c r="H7" s="7" t="n">
        <v>0</v>
      </c>
      <c r="I7" s="7" t="n">
        <v>0</v>
      </c>
      <c r="J7" s="7" t="n">
        <v>0</v>
      </c>
      <c r="K7" s="7" t="n">
        <v>0</v>
      </c>
    </row>
    <row r="8" ht="15" customHeight="1" s="5">
      <c r="A8" s="4" t="inlineStr">
        <is>
          <t xml:space="preserve">  Repayments (sweep)</t>
        </is>
      </c>
      <c r="B8" s="7" t="n">
        <v>0</v>
      </c>
      <c r="C8" s="7" t="n">
        <v>0</v>
      </c>
      <c r="D8" s="7" t="n">
        <v>0</v>
      </c>
      <c r="E8" s="7" t="n">
        <v>0</v>
      </c>
      <c r="F8" s="7" t="n">
        <v>0</v>
      </c>
      <c r="G8" s="7" t="n">
        <v>0</v>
      </c>
      <c r="H8" s="7" t="n">
        <v>0</v>
      </c>
      <c r="I8" s="7" t="n">
        <v>0</v>
      </c>
      <c r="J8" s="7" t="n">
        <v>0</v>
      </c>
      <c r="K8" s="7" t="n">
        <v>0</v>
      </c>
    </row>
    <row r="9" ht="15" customHeight="1" s="5">
      <c r="A9" s="4" t="inlineStr">
        <is>
          <t>Ending balance</t>
        </is>
      </c>
      <c r="B9" s="8">
        <f>B6+B7-B8</f>
        <v/>
      </c>
      <c r="C9" s="8">
        <f>C6+C7-C8</f>
        <v/>
      </c>
      <c r="D9" s="8">
        <f>D6+D7-D8</f>
        <v/>
      </c>
      <c r="E9" s="8">
        <f>E6+E7-E8</f>
        <v/>
      </c>
      <c r="F9" s="8">
        <f>F6+F7-F8</f>
        <v/>
      </c>
      <c r="G9" s="8">
        <f>G6+G7-G8</f>
        <v/>
      </c>
      <c r="H9" s="8">
        <f>H6+H7-H8</f>
        <v/>
      </c>
      <c r="I9" s="8">
        <f>I6+I7-I8</f>
        <v/>
      </c>
      <c r="J9" s="8">
        <f>J6+J7-J8</f>
        <v/>
      </c>
      <c r="K9" s="8">
        <f>K6+K7-K8</f>
        <v/>
      </c>
    </row>
    <row r="10" ht="15" customHeight="1" s="5">
      <c r="A10" s="4" t="inlineStr">
        <is>
          <t xml:space="preserve">  Interest expense</t>
        </is>
      </c>
      <c r="B10" s="9">
        <f>(B6+B9)/2*'3STMT_ASSUMPTIONS'!B33</f>
        <v/>
      </c>
      <c r="C10" s="9">
        <f>(C6+C9)/2*'3STMT_ASSUMPTIONS'!C33</f>
        <v/>
      </c>
      <c r="D10" s="9">
        <f>(D6+D9)/2*'3STMT_ASSUMPTIONS'!D33</f>
        <v/>
      </c>
      <c r="E10" s="9">
        <f>(E6+E9)/2*'3STMT_ASSUMPTIONS'!E33</f>
        <v/>
      </c>
      <c r="F10" s="9">
        <f>(F6+F9)/2*'3STMT_ASSUMPTIONS'!F33</f>
        <v/>
      </c>
      <c r="G10" s="9">
        <f>(G6+G9)/2*'3STMT_ASSUMPTIONS'!G33</f>
        <v/>
      </c>
      <c r="H10" s="9">
        <f>(H6+H9)/2*'3STMT_ASSUMPTIONS'!H33</f>
        <v/>
      </c>
      <c r="I10" s="9">
        <f>(I6+I9)/2*'3STMT_ASSUMPTIONS'!I33</f>
        <v/>
      </c>
      <c r="J10" s="9">
        <f>(J6+J9)/2*'3STMT_ASSUMPTIONS'!J33</f>
        <v/>
      </c>
      <c r="K10" s="9">
        <f>(K6+K9)/2*'3STMT_ASSUMPTIONS'!K33</f>
        <v/>
      </c>
    </row>
    <row r="12" ht="15" customHeight="1" s="5">
      <c r="A12" s="4" t="inlineStr">
        <is>
          <t>TERM LOAN A</t>
        </is>
      </c>
    </row>
    <row r="13" ht="15" customHeight="1" s="5">
      <c r="A13" s="4" t="inlineStr">
        <is>
          <t xml:space="preserve">  Opening balance</t>
        </is>
      </c>
      <c r="B13" s="9">
        <f>'3STMT_ASSUMPTIONS'!B43</f>
        <v/>
      </c>
      <c r="C13" s="8">
        <f>B16</f>
        <v/>
      </c>
      <c r="D13" s="8">
        <f>C16</f>
        <v/>
      </c>
      <c r="E13" s="8">
        <f>D16</f>
        <v/>
      </c>
      <c r="F13" s="8">
        <f>E16</f>
        <v/>
      </c>
      <c r="G13" s="8">
        <f>F16</f>
        <v/>
      </c>
      <c r="H13" s="8">
        <f>G16</f>
        <v/>
      </c>
      <c r="I13" s="8">
        <f>H16</f>
        <v/>
      </c>
      <c r="J13" s="8">
        <f>I16</f>
        <v/>
      </c>
      <c r="K13" s="8">
        <f>J16</f>
        <v/>
      </c>
    </row>
    <row r="14" ht="15" customHeight="1" s="5">
      <c r="A14" s="4" t="inlineStr">
        <is>
          <t xml:space="preserve">  Scheduled amortization</t>
        </is>
      </c>
      <c r="B14" s="9">
        <f>B13*'3STMT_ASSUMPTIONS'!B46</f>
        <v/>
      </c>
      <c r="C14" s="9">
        <f>C13*'3STMT_ASSUMPTIONS'!B46</f>
        <v/>
      </c>
      <c r="D14" s="9">
        <f>D13*'3STMT_ASSUMPTIONS'!B46</f>
        <v/>
      </c>
      <c r="E14" s="9">
        <f>E13*'3STMT_ASSUMPTIONS'!B46</f>
        <v/>
      </c>
      <c r="F14" s="9">
        <f>F13*'3STMT_ASSUMPTIONS'!B46</f>
        <v/>
      </c>
      <c r="G14" s="9">
        <f>G13*'3STMT_ASSUMPTIONS'!B46</f>
        <v/>
      </c>
      <c r="H14" s="9">
        <f>H13*'3STMT_ASSUMPTIONS'!B46</f>
        <v/>
      </c>
      <c r="I14" s="9">
        <f>I13*'3STMT_ASSUMPTIONS'!B46</f>
        <v/>
      </c>
      <c r="J14" s="9">
        <f>J13*'3STMT_ASSUMPTIONS'!B46</f>
        <v/>
      </c>
      <c r="K14" s="9">
        <f>K13*'3STMT_ASSUMPTIONS'!B46</f>
        <v/>
      </c>
    </row>
    <row r="15" ht="15" customHeight="1" s="5">
      <c r="A15" s="4" t="inlineStr">
        <is>
          <t xml:space="preserve">  Prepayment (sweep)</t>
        </is>
      </c>
      <c r="B15" s="7" t="n">
        <v>0</v>
      </c>
      <c r="C15" s="7" t="n">
        <v>0</v>
      </c>
      <c r="D15" s="7" t="n">
        <v>0</v>
      </c>
      <c r="E15" s="7" t="n">
        <v>0</v>
      </c>
      <c r="F15" s="7" t="n">
        <v>0</v>
      </c>
      <c r="G15" s="7" t="n">
        <v>0</v>
      </c>
      <c r="H15" s="7" t="n">
        <v>0</v>
      </c>
      <c r="I15" s="7" t="n">
        <v>0</v>
      </c>
      <c r="J15" s="7" t="n">
        <v>0</v>
      </c>
      <c r="K15" s="7" t="n">
        <v>0</v>
      </c>
    </row>
    <row r="16" ht="15" customHeight="1" s="5">
      <c r="A16" s="4" t="inlineStr">
        <is>
          <t>Ending balance</t>
        </is>
      </c>
      <c r="B16" s="8">
        <f>MAX(0,B13-B14-B15)</f>
        <v/>
      </c>
      <c r="C16" s="8">
        <f>MAX(0,C13-C14-C15)</f>
        <v/>
      </c>
      <c r="D16" s="8">
        <f>MAX(0,D13-D14-D15)</f>
        <v/>
      </c>
      <c r="E16" s="8">
        <f>MAX(0,E13-E14-E15)</f>
        <v/>
      </c>
      <c r="F16" s="8">
        <f>MAX(0,F13-F14-F15)</f>
        <v/>
      </c>
      <c r="G16" s="8">
        <f>MAX(0,G13-G14-G15)</f>
        <v/>
      </c>
      <c r="H16" s="8">
        <f>MAX(0,H13-H14-H15)</f>
        <v/>
      </c>
      <c r="I16" s="8">
        <f>MAX(0,I13-I14-I15)</f>
        <v/>
      </c>
      <c r="J16" s="8">
        <f>MAX(0,J13-J14-J15)</f>
        <v/>
      </c>
      <c r="K16" s="8">
        <f>MAX(0,K13-K14-K15)</f>
        <v/>
      </c>
    </row>
    <row r="17" ht="15" customHeight="1" s="5">
      <c r="A17" s="4" t="inlineStr">
        <is>
          <t xml:space="preserve">  Interest expense</t>
        </is>
      </c>
      <c r="B17" s="9">
        <f>(B13+B16)/2*'3STMT_ASSUMPTIONS'!B33</f>
        <v/>
      </c>
      <c r="C17" s="9">
        <f>(C13+C16)/2*'3STMT_ASSUMPTIONS'!C33</f>
        <v/>
      </c>
      <c r="D17" s="9">
        <f>(D13+D16)/2*'3STMT_ASSUMPTIONS'!D33</f>
        <v/>
      </c>
      <c r="E17" s="9">
        <f>(E13+E16)/2*'3STMT_ASSUMPTIONS'!E33</f>
        <v/>
      </c>
      <c r="F17" s="9">
        <f>(F13+F16)/2*'3STMT_ASSUMPTIONS'!F33</f>
        <v/>
      </c>
      <c r="G17" s="9">
        <f>(G13+G16)/2*'3STMT_ASSUMPTIONS'!G33</f>
        <v/>
      </c>
      <c r="H17" s="9">
        <f>(H13+H16)/2*'3STMT_ASSUMPTIONS'!H33</f>
        <v/>
      </c>
      <c r="I17" s="9">
        <f>(I13+I16)/2*'3STMT_ASSUMPTIONS'!I33</f>
        <v/>
      </c>
      <c r="J17" s="9">
        <f>(J13+J16)/2*'3STMT_ASSUMPTIONS'!J33</f>
        <v/>
      </c>
      <c r="K17" s="9">
        <f>(K13+K16)/2*'3STMT_ASSUMPTIONS'!K33</f>
        <v/>
      </c>
    </row>
    <row r="19" ht="15" customHeight="1" s="5">
      <c r="A19" s="4" t="inlineStr">
        <is>
          <t>TERM LOAN B</t>
        </is>
      </c>
    </row>
    <row r="20" ht="15" customHeight="1" s="5">
      <c r="A20" s="4" t="inlineStr">
        <is>
          <t xml:space="preserve">  Opening balance</t>
        </is>
      </c>
      <c r="B20" s="9">
        <f>'3STMT_ASSUMPTIONS'!B44</f>
        <v/>
      </c>
      <c r="C20" s="8">
        <f>B23</f>
        <v/>
      </c>
      <c r="D20" s="8">
        <f>C23</f>
        <v/>
      </c>
      <c r="E20" s="8">
        <f>D23</f>
        <v/>
      </c>
      <c r="F20" s="8">
        <f>E23</f>
        <v/>
      </c>
      <c r="G20" s="8">
        <f>F23</f>
        <v/>
      </c>
      <c r="H20" s="8">
        <f>G23</f>
        <v/>
      </c>
      <c r="I20" s="8">
        <f>H23</f>
        <v/>
      </c>
      <c r="J20" s="8">
        <f>I23</f>
        <v/>
      </c>
      <c r="K20" s="8">
        <f>J23</f>
        <v/>
      </c>
    </row>
    <row r="21" ht="15" customHeight="1" s="5">
      <c r="A21" s="4" t="inlineStr">
        <is>
          <t xml:space="preserve">  Scheduled amortization</t>
        </is>
      </c>
      <c r="B21" s="9">
        <f>B20*'3STMT_ASSUMPTIONS'!B47</f>
        <v/>
      </c>
      <c r="C21" s="9">
        <f>C20*'3STMT_ASSUMPTIONS'!B47</f>
        <v/>
      </c>
      <c r="D21" s="9">
        <f>D20*'3STMT_ASSUMPTIONS'!B47</f>
        <v/>
      </c>
      <c r="E21" s="9">
        <f>E20*'3STMT_ASSUMPTIONS'!B47</f>
        <v/>
      </c>
      <c r="F21" s="9">
        <f>F20*'3STMT_ASSUMPTIONS'!B47</f>
        <v/>
      </c>
      <c r="G21" s="9">
        <f>G20*'3STMT_ASSUMPTIONS'!B47</f>
        <v/>
      </c>
      <c r="H21" s="9">
        <f>H20*'3STMT_ASSUMPTIONS'!B47</f>
        <v/>
      </c>
      <c r="I21" s="9">
        <f>I20*'3STMT_ASSUMPTIONS'!B47</f>
        <v/>
      </c>
      <c r="J21" s="9">
        <f>J20*'3STMT_ASSUMPTIONS'!B47</f>
        <v/>
      </c>
      <c r="K21" s="9">
        <f>K20*'3STMT_ASSUMPTIONS'!B47</f>
        <v/>
      </c>
    </row>
    <row r="22" ht="15" customHeight="1" s="5">
      <c r="A22" s="4" t="inlineStr">
        <is>
          <t xml:space="preserve">  Cash sweep</t>
        </is>
      </c>
      <c r="B22" s="7" t="n">
        <v>0</v>
      </c>
      <c r="C22" s="7" t="n">
        <v>0</v>
      </c>
      <c r="D22" s="7" t="n">
        <v>0</v>
      </c>
      <c r="E22" s="7" t="n">
        <v>0</v>
      </c>
      <c r="F22" s="7" t="n">
        <v>0</v>
      </c>
      <c r="G22" s="7" t="n">
        <v>0</v>
      </c>
      <c r="H22" s="7" t="n">
        <v>0</v>
      </c>
      <c r="I22" s="7" t="n">
        <v>0</v>
      </c>
      <c r="J22" s="7" t="n">
        <v>0</v>
      </c>
      <c r="K22" s="7" t="n">
        <v>0</v>
      </c>
    </row>
    <row r="23" ht="15" customHeight="1" s="5">
      <c r="A23" s="4" t="inlineStr">
        <is>
          <t>Ending balance</t>
        </is>
      </c>
      <c r="B23" s="8">
        <f>MAX(0,B20-B21-B22)</f>
        <v/>
      </c>
      <c r="C23" s="8">
        <f>MAX(0,C20-C21-C22)</f>
        <v/>
      </c>
      <c r="D23" s="8">
        <f>MAX(0,D20-D21-D22)</f>
        <v/>
      </c>
      <c r="E23" s="8">
        <f>MAX(0,E20-E21-E22)</f>
        <v/>
      </c>
      <c r="F23" s="8">
        <f>MAX(0,F20-F21-F22)</f>
        <v/>
      </c>
      <c r="G23" s="8">
        <f>MAX(0,G20-G21-G22)</f>
        <v/>
      </c>
      <c r="H23" s="8">
        <f>MAX(0,H20-H21-H22)</f>
        <v/>
      </c>
      <c r="I23" s="8">
        <f>MAX(0,I20-I21-I22)</f>
        <v/>
      </c>
      <c r="J23" s="8">
        <f>MAX(0,J20-J21-J22)</f>
        <v/>
      </c>
      <c r="K23" s="8">
        <f>MAX(0,K20-K21-K22)</f>
        <v/>
      </c>
    </row>
    <row r="24" ht="15" customHeight="1" s="5">
      <c r="A24" s="4" t="inlineStr">
        <is>
          <t xml:space="preserve">  Interest expense</t>
        </is>
      </c>
      <c r="B24" s="9">
        <f>(B20+B23)/2*'3STMT_ASSUMPTIONS'!B33</f>
        <v/>
      </c>
      <c r="C24" s="9">
        <f>(C20+C23)/2*'3STMT_ASSUMPTIONS'!C33</f>
        <v/>
      </c>
      <c r="D24" s="9">
        <f>(D20+D23)/2*'3STMT_ASSUMPTIONS'!D33</f>
        <v/>
      </c>
      <c r="E24" s="9">
        <f>(E20+E23)/2*'3STMT_ASSUMPTIONS'!E33</f>
        <v/>
      </c>
      <c r="F24" s="9">
        <f>(F20+F23)/2*'3STMT_ASSUMPTIONS'!F33</f>
        <v/>
      </c>
      <c r="G24" s="9">
        <f>(G20+G23)/2*'3STMT_ASSUMPTIONS'!G33</f>
        <v/>
      </c>
      <c r="H24" s="9">
        <f>(H20+H23)/2*'3STMT_ASSUMPTIONS'!H33</f>
        <v/>
      </c>
      <c r="I24" s="9">
        <f>(I20+I23)/2*'3STMT_ASSUMPTIONS'!I33</f>
        <v/>
      </c>
      <c r="J24" s="9">
        <f>(J20+J23)/2*'3STMT_ASSUMPTIONS'!J33</f>
        <v/>
      </c>
      <c r="K24" s="9">
        <f>(K20+K23)/2*'3STMT_ASSUMPTIONS'!K33</f>
        <v/>
      </c>
    </row>
    <row r="26" ht="15" customHeight="1" s="5">
      <c r="A26" s="4" t="inlineStr">
        <is>
          <t>SENIOR NOTES</t>
        </is>
      </c>
    </row>
    <row r="27" ht="15" customHeight="1" s="5">
      <c r="A27" s="4" t="inlineStr">
        <is>
          <t xml:space="preserve">  Opening balance</t>
        </is>
      </c>
      <c r="B27" s="9">
        <f>'3STMT_ASSUMPTIONS'!B45</f>
        <v/>
      </c>
      <c r="C27" s="8">
        <f>B29</f>
        <v/>
      </c>
      <c r="D27" s="8">
        <f>C29</f>
        <v/>
      </c>
      <c r="E27" s="8">
        <f>D29</f>
        <v/>
      </c>
      <c r="F27" s="8">
        <f>E29</f>
        <v/>
      </c>
      <c r="G27" s="8">
        <f>F29</f>
        <v/>
      </c>
      <c r="H27" s="8">
        <f>G29</f>
        <v/>
      </c>
      <c r="I27" s="8">
        <f>H29</f>
        <v/>
      </c>
      <c r="J27" s="8">
        <f>I29</f>
        <v/>
      </c>
      <c r="K27" s="8">
        <f>J29</f>
        <v/>
      </c>
    </row>
    <row r="28" ht="15" customHeight="1" s="5">
      <c r="A28" s="4" t="inlineStr">
        <is>
          <t xml:space="preserve">  Issuance / (repayment)</t>
        </is>
      </c>
      <c r="B28" s="7" t="n">
        <v>0</v>
      </c>
      <c r="C28" s="7" t="n">
        <v>0</v>
      </c>
      <c r="D28" s="7" t="n">
        <v>0</v>
      </c>
      <c r="E28" s="7" t="n">
        <v>0</v>
      </c>
      <c r="F28" s="7" t="n">
        <v>0</v>
      </c>
      <c r="G28" s="7" t="n">
        <v>0</v>
      </c>
      <c r="H28" s="7" t="n">
        <v>0</v>
      </c>
      <c r="I28" s="7" t="n">
        <v>0</v>
      </c>
      <c r="J28" s="7" t="n">
        <v>0</v>
      </c>
      <c r="K28" s="7" t="n">
        <v>0</v>
      </c>
    </row>
    <row r="29" ht="15" customHeight="1" s="5">
      <c r="A29" s="4" t="inlineStr">
        <is>
          <t>Ending balance</t>
        </is>
      </c>
      <c r="B29" s="8">
        <f>B27+B28</f>
        <v/>
      </c>
      <c r="C29" s="8">
        <f>C27+C28</f>
        <v/>
      </c>
      <c r="D29" s="8">
        <f>D27+D28</f>
        <v/>
      </c>
      <c r="E29" s="8">
        <f>E27+E28</f>
        <v/>
      </c>
      <c r="F29" s="8">
        <f>F27+F28</f>
        <v/>
      </c>
      <c r="G29" s="8">
        <f>G27+G28</f>
        <v/>
      </c>
      <c r="H29" s="8">
        <f>H27+H28</f>
        <v/>
      </c>
      <c r="I29" s="8">
        <f>I27+I28</f>
        <v/>
      </c>
      <c r="J29" s="8">
        <f>J27+J28</f>
        <v/>
      </c>
      <c r="K29" s="8">
        <f>K27+K28</f>
        <v/>
      </c>
    </row>
    <row r="30" ht="15" customHeight="1" s="5">
      <c r="A30" s="4" t="inlineStr">
        <is>
          <t xml:space="preserve">  Interest expense</t>
        </is>
      </c>
      <c r="B30" s="9">
        <f>(B27+B29)/2*'3STMT_ASSUMPTIONS'!B33</f>
        <v/>
      </c>
      <c r="C30" s="9">
        <f>(C27+C29)/2*'3STMT_ASSUMPTIONS'!C33</f>
        <v/>
      </c>
      <c r="D30" s="9">
        <f>(D27+D29)/2*'3STMT_ASSUMPTIONS'!D33</f>
        <v/>
      </c>
      <c r="E30" s="9">
        <f>(E27+E29)/2*'3STMT_ASSUMPTIONS'!E33</f>
        <v/>
      </c>
      <c r="F30" s="9">
        <f>(F27+F29)/2*'3STMT_ASSUMPTIONS'!F33</f>
        <v/>
      </c>
      <c r="G30" s="9">
        <f>(G27+G29)/2*'3STMT_ASSUMPTIONS'!G33</f>
        <v/>
      </c>
      <c r="H30" s="9">
        <f>(H27+H29)/2*'3STMT_ASSUMPTIONS'!H33</f>
        <v/>
      </c>
      <c r="I30" s="9">
        <f>(I27+I29)/2*'3STMT_ASSUMPTIONS'!I33</f>
        <v/>
      </c>
      <c r="J30" s="9">
        <f>(J27+J29)/2*'3STMT_ASSUMPTIONS'!J33</f>
        <v/>
      </c>
      <c r="K30" s="9">
        <f>(K27+K29)/2*'3STMT_ASSUMPTIONS'!K33</f>
        <v/>
      </c>
    </row>
    <row r="32" ht="15" customHeight="1" s="5">
      <c r="A32" s="4" t="inlineStr">
        <is>
          <t>TOTALS</t>
        </is>
      </c>
    </row>
    <row r="33" ht="15" customHeight="1" s="5">
      <c r="A33" s="4" t="inlineStr">
        <is>
          <t>Total Debt (Ending)</t>
        </is>
      </c>
      <c r="B33" s="8">
        <f>B9+B16+B23+B29</f>
        <v/>
      </c>
      <c r="C33" s="8">
        <f>C9+C16+C23+C29</f>
        <v/>
      </c>
      <c r="D33" s="8">
        <f>D9+D16+D23+D29</f>
        <v/>
      </c>
      <c r="E33" s="8">
        <f>E9+E16+E23+E29</f>
        <v/>
      </c>
      <c r="F33" s="8">
        <f>F9+F16+F23+F29</f>
        <v/>
      </c>
      <c r="G33" s="8">
        <f>G9+G16+G23+G29</f>
        <v/>
      </c>
      <c r="H33" s="8">
        <f>H9+H16+H23+H29</f>
        <v/>
      </c>
      <c r="I33" s="8">
        <f>I9+I16+I23+I29</f>
        <v/>
      </c>
      <c r="J33" s="8">
        <f>J9+J16+J23+J29</f>
        <v/>
      </c>
      <c r="K33" s="8">
        <f>K9+K16+K23+K29</f>
        <v/>
      </c>
    </row>
    <row r="34" ht="15" customHeight="1" s="5">
      <c r="A34" s="4" t="inlineStr">
        <is>
          <t>Total Interest Expense</t>
        </is>
      </c>
      <c r="B34" s="8">
        <f>B10+B17+B24+B30</f>
        <v/>
      </c>
      <c r="C34" s="8">
        <f>C10+C17+C24+C30</f>
        <v/>
      </c>
      <c r="D34" s="8">
        <f>D10+D17+D24+D30</f>
        <v/>
      </c>
      <c r="E34" s="8">
        <f>E10+E17+E24+E30</f>
        <v/>
      </c>
      <c r="F34" s="8">
        <f>F10+F17+F24+F30</f>
        <v/>
      </c>
      <c r="G34" s="8">
        <f>G10+G17+G24+G30</f>
        <v/>
      </c>
      <c r="H34" s="8">
        <f>H10+H17+H24+H30</f>
        <v/>
      </c>
      <c r="I34" s="8">
        <f>I10+I17+I24+I30</f>
        <v/>
      </c>
      <c r="J34" s="8">
        <f>J10+J17+J24+J30</f>
        <v/>
      </c>
      <c r="K34" s="8">
        <f>K10+K17+K24+K30</f>
        <v/>
      </c>
    </row>
    <row r="35" ht="15" customHeight="1" s="5">
      <c r="A35" s="4" t="inlineStr">
        <is>
          <t xml:space="preserve">  Debt Repayment (to CF Financing)</t>
        </is>
      </c>
      <c r="B35" s="8">
        <f>-(B14+B15+B21+B22+B8)+B7+B28</f>
        <v/>
      </c>
      <c r="C35" s="8">
        <f>-(C14+C15+C21+C22+C8)+C7+C28</f>
        <v/>
      </c>
      <c r="D35" s="8">
        <f>-(D14+D15+D21+D22+D8)+D7+D28</f>
        <v/>
      </c>
      <c r="E35" s="8">
        <f>-(E14+E15+E21+E22+E8)+E7+E28</f>
        <v/>
      </c>
      <c r="F35" s="8">
        <f>-(F14+F15+F21+F22+F8)+F7+F28</f>
        <v/>
      </c>
      <c r="G35" s="8">
        <f>-(G14+G15+G21+G22+G8)+G7+G28</f>
        <v/>
      </c>
      <c r="H35" s="8">
        <f>-(H14+H15+H21+H22+H8)+H7+H28</f>
        <v/>
      </c>
      <c r="I35" s="8">
        <f>-(I14+I15+I21+I22+I8)+I7+I28</f>
        <v/>
      </c>
      <c r="J35" s="8">
        <f>-(J14+J15+J21+J22+J8)+J7+J28</f>
        <v/>
      </c>
      <c r="K35" s="8">
        <f>-(K14+K15+K21+K22+K8)+K7+K28</f>
        <v/>
      </c>
    </row>
    <row r="37" ht="15" customHeight="1" s="5">
      <c r="A37" s="4" t="inlineStr">
        <is>
          <t>CASH SWEEP WATERFALL</t>
        </is>
      </c>
    </row>
    <row r="38" ht="15" customHeight="1" s="5">
      <c r="A38" s="4" t="inlineStr">
        <is>
          <t xml:space="preserve">  Cash available for sweep</t>
        </is>
      </c>
      <c r="B38" s="8">
        <f>0</f>
        <v/>
      </c>
      <c r="C38" s="8">
        <f>0</f>
        <v/>
      </c>
      <c r="D38" s="8">
        <f>0</f>
        <v/>
      </c>
      <c r="E38" s="8">
        <f>0</f>
        <v/>
      </c>
      <c r="F38" s="8">
        <f>0</f>
        <v/>
      </c>
      <c r="G38" s="9">
        <f>MAX(0,'3STMT_CF'!G36-'3STMT_ASSUMPTIONS'!G38-('3STMT_ASSUMPTIONS'!G37*'3STMT_ASSUMPTIONS'!G36/1000)-'3STMT_ASSUMPTIONS'!G39)</f>
        <v/>
      </c>
      <c r="H38" s="9">
        <f>MAX(0,'3STMT_CF'!H36-'3STMT_ASSUMPTIONS'!H38-('3STMT_ASSUMPTIONS'!H37*'3STMT_ASSUMPTIONS'!H36/1000)-'3STMT_ASSUMPTIONS'!H39)</f>
        <v/>
      </c>
      <c r="I38" s="9">
        <f>MAX(0,'3STMT_CF'!I36-'3STMT_ASSUMPTIONS'!I38-('3STMT_ASSUMPTIONS'!I37*'3STMT_ASSUMPTIONS'!I36/1000)-'3STMT_ASSUMPTIONS'!I39)</f>
        <v/>
      </c>
      <c r="J38" s="9">
        <f>MAX(0,'3STMT_CF'!J36-'3STMT_ASSUMPTIONS'!J38-('3STMT_ASSUMPTIONS'!J37*'3STMT_ASSUMPTIONS'!J36/1000)-'3STMT_ASSUMPTIONS'!J39)</f>
        <v/>
      </c>
      <c r="K38" s="9">
        <f>MAX(0,'3STMT_CF'!K36-'3STMT_ASSUMPTIONS'!K38-('3STMT_ASSUMPTIONS'!K37*'3STMT_ASSUMPTIONS'!K36/1000)-'3STMT_ASSUMPTIONS'!K39)</f>
        <v/>
      </c>
    </row>
    <row r="39" ht="15" customHeight="1" s="5">
      <c r="A39" s="4" t="inlineStr">
        <is>
          <t xml:space="preserve">    Priority 1: Revolver paydown</t>
        </is>
      </c>
      <c r="B39" s="8">
        <f>MIN(B38,B6)</f>
        <v/>
      </c>
      <c r="C39" s="8">
        <f>MIN(C38,C6)</f>
        <v/>
      </c>
      <c r="D39" s="8">
        <f>MIN(D38,D6)</f>
        <v/>
      </c>
      <c r="E39" s="8">
        <f>MIN(E38,E6)</f>
        <v/>
      </c>
      <c r="F39" s="8">
        <f>MIN(F38,F6)</f>
        <v/>
      </c>
      <c r="G39" s="8">
        <f>MIN(G38,G6)</f>
        <v/>
      </c>
      <c r="H39" s="8">
        <f>MIN(H38,H6)</f>
        <v/>
      </c>
      <c r="I39" s="8">
        <f>MIN(I38,I6)</f>
        <v/>
      </c>
      <c r="J39" s="8">
        <f>MIN(J38,J6)</f>
        <v/>
      </c>
      <c r="K39" s="8">
        <f>MIN(K38,K6)</f>
        <v/>
      </c>
    </row>
    <row r="40" ht="15" customHeight="1" s="5">
      <c r="A40" s="4" t="inlineStr">
        <is>
          <t xml:space="preserve">    Priority 2: TLA prepayment</t>
        </is>
      </c>
      <c r="B40" s="8">
        <f>MIN(MAX(0,B38-B39),B13-B14)</f>
        <v/>
      </c>
      <c r="C40" s="8">
        <f>MIN(MAX(0,C38-C39),C13-C14)</f>
        <v/>
      </c>
      <c r="D40" s="8">
        <f>MIN(MAX(0,D38-D39),D13-D14)</f>
        <v/>
      </c>
      <c r="E40" s="8">
        <f>MIN(MAX(0,E38-E39),E13-E14)</f>
        <v/>
      </c>
      <c r="F40" s="8">
        <f>MIN(MAX(0,F38-F39),F13-F14)</f>
        <v/>
      </c>
      <c r="G40" s="8">
        <f>MIN(MAX(0,G38-G39),G13-G14)</f>
        <v/>
      </c>
      <c r="H40" s="8">
        <f>MIN(MAX(0,H38-H39),H13-H14)</f>
        <v/>
      </c>
      <c r="I40" s="8">
        <f>MIN(MAX(0,I38-I39),I13-I14)</f>
        <v/>
      </c>
      <c r="J40" s="8">
        <f>MIN(MAX(0,J38-J39),J13-J14)</f>
        <v/>
      </c>
      <c r="K40" s="8">
        <f>MIN(MAX(0,K38-K39),K13-K14)</f>
        <v/>
      </c>
    </row>
    <row r="41" ht="15" customHeight="1" s="5">
      <c r="A41" s="4" t="inlineStr">
        <is>
          <t xml:space="preserve">    Priority 3: TLB cash sweep</t>
        </is>
      </c>
      <c r="B41" s="8">
        <f>MAX(0,B38-B39-B40)</f>
        <v/>
      </c>
      <c r="C41" s="8">
        <f>MAX(0,C38-C39-C40)</f>
        <v/>
      </c>
      <c r="D41" s="8">
        <f>MAX(0,D38-D39-D40)</f>
        <v/>
      </c>
      <c r="E41" s="8">
        <f>MAX(0,E38-E39-E40)</f>
        <v/>
      </c>
      <c r="F41" s="8">
        <f>MAX(0,F38-F39-F40)</f>
        <v/>
      </c>
      <c r="G41" s="8">
        <f>MAX(0,G38-G39-G40)</f>
        <v/>
      </c>
      <c r="H41" s="8">
        <f>MAX(0,H38-H39-H40)</f>
        <v/>
      </c>
      <c r="I41" s="8">
        <f>MAX(0,I38-I39-I40)</f>
        <v/>
      </c>
      <c r="J41" s="8">
        <f>MAX(0,J38-J39-J40)</f>
        <v/>
      </c>
      <c r="K41" s="8">
        <f>MAX(0,K38-K39-K40)</f>
        <v/>
      </c>
    </row>
  </sheetData>
  <mergeCells count="1">
    <mergeCell ref="A1:K1"/>
  </mergeCells>
  <printOptions horizontalCentered="1" verticalCentered="0" headings="0" gridLines="0" gridLinesSet="1"/>
  <pageMargins left="0.5" right="0.5" top="0.5" bottom="0.5" header="0.3" footer="0.3"/>
  <pageSetup orientation="landscape" paperSize="1" scale="100" fitToHeight="0" fitToWidth="1" pageOrder="downThenOver" blackAndWhite="0" draft="0" horizontalDpi="300" verticalDpi="300" copies="1"/>
  <headerFooter differentOddEven="0" differentFirst="0">
    <oddHeader>&amp;L&amp;8 &amp;K3C3F453STMT_DEBT&amp;C&amp;K0d27473STMT_DEBT&amp;R&amp;8 &amp;KC89000BARATELLI INSTITUTE  *  MENTORING AT SCALE</oddHeader>
    <oddFooter>&amp;L&amp;8 &amp;K3C3F45baratelliinstitute.com&amp;C&amp;8 &amp;K3C3F45Page &amp;P of &amp;N&amp;R&amp;8 &amp;K3C3F45Danaher Compounder 2026</oddFooter>
    <evenHeader/>
    <evenFooter/>
    <firstHeader/>
    <firstFooter/>
  </headerFooter>
</worksheet>
</file>

<file path=xl/worksheets/sheet29.xml><?xml version="1.0" encoding="utf-8"?>
<worksheet xmlns="http://schemas.openxmlformats.org/spreadsheetml/2006/main">
  <sheetPr filterMode="0">
    <outlinePr summaryBelow="1" summaryRight="1"/>
    <pageSetUpPr fitToPage="1"/>
  </sheetPr>
  <dimension ref="A1:K30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baseColWidth="8" defaultColWidth="8.6796875" defaultRowHeight="15" customHeight="0" zeroHeight="0" outlineLevelRow="0"/>
  <cols>
    <col width="40" customWidth="1" style="4" min="1" max="1"/>
    <col width="12" customWidth="1" style="4" min="2" max="11"/>
  </cols>
  <sheetData>
    <row r="1" ht="15" customHeight="1" s="5">
      <c r="A1" s="4" t="inlineStr">
        <is>
          <t>DANAHER — RECONCILIATIONS &amp; CHECKS</t>
        </is>
      </c>
    </row>
    <row r="3" ht="15" customHeight="1" s="5">
      <c r="A3" s="4" t="inlineStr">
        <is>
          <t>($B unless noted)</t>
        </is>
      </c>
      <c r="B3" s="4" t="inlineStr">
        <is>
          <t>FY22A</t>
        </is>
      </c>
      <c r="C3" s="4" t="inlineStr">
        <is>
          <t>FY23A</t>
        </is>
      </c>
      <c r="D3" s="4" t="inlineStr">
        <is>
          <t>FY24A</t>
        </is>
      </c>
      <c r="E3" s="4" t="inlineStr">
        <is>
          <t>FY25A</t>
        </is>
      </c>
      <c r="F3" s="4" t="inlineStr">
        <is>
          <t>LTM Q2'26</t>
        </is>
      </c>
      <c r="G3" s="4" t="inlineStr">
        <is>
          <t>FY26E</t>
        </is>
      </c>
      <c r="H3" s="4" t="inlineStr">
        <is>
          <t>FY27E</t>
        </is>
      </c>
      <c r="I3" s="4" t="inlineStr">
        <is>
          <t>FY28E</t>
        </is>
      </c>
      <c r="J3" s="4" t="inlineStr">
        <is>
          <t>FY29E</t>
        </is>
      </c>
      <c r="K3" s="4" t="inlineStr">
        <is>
          <t>FY30E</t>
        </is>
      </c>
    </row>
    <row r="5" ht="15" customHeight="1" s="5">
      <c r="A5" s="4" t="inlineStr">
        <is>
          <t>BALANCE SHEET INTEGRITY</t>
        </is>
      </c>
    </row>
    <row r="6" ht="15" customHeight="1" s="5">
      <c r="A6" s="4" t="inlineStr">
        <is>
          <t>BS Check: Total Assets − Total L&amp;E</t>
        </is>
      </c>
      <c r="B6" s="9">
        <f>'3STMT_BS'!B15-'3STMT_BS'!B36</f>
        <v/>
      </c>
      <c r="C6" s="9">
        <f>'3STMT_BS'!C15-'3STMT_BS'!C36</f>
        <v/>
      </c>
      <c r="D6" s="9">
        <f>'3STMT_BS'!D15-'3STMT_BS'!D36</f>
        <v/>
      </c>
      <c r="E6" s="9">
        <f>'3STMT_BS'!E15-'3STMT_BS'!E36</f>
        <v/>
      </c>
      <c r="F6" s="9">
        <f>'3STMT_BS'!F15-'3STMT_BS'!F36</f>
        <v/>
      </c>
      <c r="G6" s="9">
        <f>'3STMT_BS'!G15-'3STMT_BS'!G36</f>
        <v/>
      </c>
      <c r="H6" s="9">
        <f>'3STMT_BS'!H15-'3STMT_BS'!H36</f>
        <v/>
      </c>
      <c r="I6" s="9">
        <f>'3STMT_BS'!I15-'3STMT_BS'!I36</f>
        <v/>
      </c>
      <c r="J6" s="9">
        <f>'3STMT_BS'!J15-'3STMT_BS'!J36</f>
        <v/>
      </c>
      <c r="K6" s="9">
        <f>'3STMT_BS'!K15-'3STMT_BS'!K36</f>
        <v/>
      </c>
    </row>
    <row r="7" ht="15" customHeight="1" s="5">
      <c r="A7" s="4" t="inlineStr">
        <is>
          <t>CF Check: CF Ending Cash − BS Cash</t>
        </is>
      </c>
      <c r="B7" s="9">
        <f>'3STMT_CF'!B32-'3STMT_BS'!B6</f>
        <v/>
      </c>
      <c r="C7" s="9">
        <f>'3STMT_CF'!C32-'3STMT_BS'!C6</f>
        <v/>
      </c>
      <c r="D7" s="9">
        <f>'3STMT_CF'!D32-'3STMT_BS'!D6</f>
        <v/>
      </c>
      <c r="E7" s="9">
        <f>'3STMT_CF'!E32-'3STMT_BS'!E6</f>
        <v/>
      </c>
      <c r="F7" s="9">
        <f>'3STMT_CF'!F32-'3STMT_BS'!F6</f>
        <v/>
      </c>
      <c r="G7" s="9">
        <f>'3STMT_CF'!G32-'3STMT_BS'!G6</f>
        <v/>
      </c>
      <c r="H7" s="9">
        <f>'3STMT_CF'!H32-'3STMT_BS'!H6</f>
        <v/>
      </c>
      <c r="I7" s="9">
        <f>'3STMT_CF'!I32-'3STMT_BS'!I6</f>
        <v/>
      </c>
      <c r="J7" s="9">
        <f>'3STMT_CF'!J32-'3STMT_BS'!J6</f>
        <v/>
      </c>
      <c r="K7" s="9">
        <f>'3STMT_CF'!K32-'3STMT_BS'!K6</f>
        <v/>
      </c>
    </row>
    <row r="8" ht="15" customHeight="1" s="5">
      <c r="A8" s="4" t="inlineStr">
        <is>
          <t>Debt Check: BS LT Debt+Current − Debt Schedule Total</t>
        </is>
      </c>
      <c r="B8" s="9">
        <f>'3STMT_BS'!B27+'3STMT_BS'!B20-'3STMT_DEBT'!B33-('3STMT_DEBT'!B14+'3STMT_DEBT'!B21)</f>
        <v/>
      </c>
      <c r="C8" s="9">
        <f>'3STMT_BS'!C27+'3STMT_BS'!C20-'3STMT_DEBT'!C33-('3STMT_DEBT'!C14+'3STMT_DEBT'!C21)</f>
        <v/>
      </c>
      <c r="D8" s="9">
        <f>'3STMT_BS'!D27+'3STMT_BS'!D20-'3STMT_DEBT'!D33-('3STMT_DEBT'!D14+'3STMT_DEBT'!D21)</f>
        <v/>
      </c>
      <c r="E8" s="9">
        <f>'3STMT_BS'!E27+'3STMT_BS'!E20-'3STMT_DEBT'!E33-('3STMT_DEBT'!E14+'3STMT_DEBT'!E21)</f>
        <v/>
      </c>
      <c r="F8" s="9">
        <f>'3STMT_BS'!F27+'3STMT_BS'!F20-'3STMT_DEBT'!F33-('3STMT_DEBT'!F14+'3STMT_DEBT'!F21)</f>
        <v/>
      </c>
      <c r="G8" s="9">
        <f>'3STMT_BS'!G27+'3STMT_BS'!G20-'3STMT_DEBT'!G33-('3STMT_DEBT'!G14+'3STMT_DEBT'!G21)</f>
        <v/>
      </c>
      <c r="H8" s="9">
        <f>'3STMT_BS'!H27+'3STMT_BS'!H20-'3STMT_DEBT'!H33-('3STMT_DEBT'!H14+'3STMT_DEBT'!H21)</f>
        <v/>
      </c>
      <c r="I8" s="9">
        <f>'3STMT_BS'!I27+'3STMT_BS'!I20-'3STMT_DEBT'!I33-('3STMT_DEBT'!I14+'3STMT_DEBT'!I21)</f>
        <v/>
      </c>
      <c r="J8" s="9">
        <f>'3STMT_BS'!J27+'3STMT_BS'!J20-'3STMT_DEBT'!J33-('3STMT_DEBT'!J14+'3STMT_DEBT'!J21)</f>
        <v/>
      </c>
      <c r="K8" s="9">
        <f>'3STMT_BS'!K27+'3STMT_BS'!K20-'3STMT_DEBT'!K33-('3STMT_DEBT'!K14+'3STMT_DEBT'!K21)</f>
        <v/>
      </c>
    </row>
    <row r="10" ht="15" customHeight="1" s="5">
      <c r="A10" s="4" t="inlineStr">
        <is>
          <t>RETAINED EARNINGS ROLL-FORWARD</t>
        </is>
      </c>
    </row>
    <row r="11" ht="15" customHeight="1" s="5">
      <c r="A11" s="4" t="inlineStr">
        <is>
          <t xml:space="preserve">  Beginning RE</t>
        </is>
      </c>
      <c r="B11" s="9">
        <f>'3STMT_ASSUMPTIONS'!B63</f>
        <v/>
      </c>
      <c r="C11" s="8">
        <f>B15</f>
        <v/>
      </c>
      <c r="D11" s="8">
        <f>C15</f>
        <v/>
      </c>
      <c r="E11" s="8">
        <f>D15</f>
        <v/>
      </c>
      <c r="F11" s="8">
        <f>E15</f>
        <v/>
      </c>
      <c r="G11" s="8">
        <f>F15</f>
        <v/>
      </c>
      <c r="H11" s="8">
        <f>G15</f>
        <v/>
      </c>
      <c r="I11" s="8">
        <f>H15</f>
        <v/>
      </c>
      <c r="J11" s="8">
        <f>I15</f>
        <v/>
      </c>
      <c r="K11" s="8">
        <f>J15</f>
        <v/>
      </c>
    </row>
    <row r="12" ht="15" customHeight="1" s="5">
      <c r="A12" s="4" t="inlineStr">
        <is>
          <t xml:space="preserve">    + Net Income</t>
        </is>
      </c>
      <c r="B12" s="9">
        <f>'3STMT_IS'!B30</f>
        <v/>
      </c>
      <c r="C12" s="9">
        <f>'3STMT_IS'!C30</f>
        <v/>
      </c>
      <c r="D12" s="9">
        <f>'3STMT_IS'!D30</f>
        <v/>
      </c>
      <c r="E12" s="9">
        <f>'3STMT_IS'!E30</f>
        <v/>
      </c>
      <c r="F12" s="9">
        <f>'3STMT_IS'!F30</f>
        <v/>
      </c>
      <c r="G12" s="9">
        <f>'3STMT_IS'!G30</f>
        <v/>
      </c>
      <c r="H12" s="9">
        <f>'3STMT_IS'!H30</f>
        <v/>
      </c>
      <c r="I12" s="9">
        <f>'3STMT_IS'!I30</f>
        <v/>
      </c>
      <c r="J12" s="9">
        <f>'3STMT_IS'!J30</f>
        <v/>
      </c>
      <c r="K12" s="9">
        <f>'3STMT_IS'!K30</f>
        <v/>
      </c>
    </row>
    <row r="13" ht="15" customHeight="1" s="5">
      <c r="A13" s="4" t="inlineStr">
        <is>
          <t xml:space="preserve">    − Dividends</t>
        </is>
      </c>
      <c r="B13" s="9">
        <f>-'3STMT_ASSUMPTIONS'!B37*'3STMT_ASSUMPTIONS'!B36/1000</f>
        <v/>
      </c>
      <c r="C13" s="9">
        <f>-'3STMT_ASSUMPTIONS'!C37*'3STMT_ASSUMPTIONS'!C36/1000</f>
        <v/>
      </c>
      <c r="D13" s="9">
        <f>-'3STMT_ASSUMPTIONS'!D37*'3STMT_ASSUMPTIONS'!D36/1000</f>
        <v/>
      </c>
      <c r="E13" s="9">
        <f>-'3STMT_ASSUMPTIONS'!E37*'3STMT_ASSUMPTIONS'!E36/1000</f>
        <v/>
      </c>
      <c r="F13" s="9">
        <f>-'3STMT_ASSUMPTIONS'!F37*'3STMT_ASSUMPTIONS'!F36/1000</f>
        <v/>
      </c>
      <c r="G13" s="9">
        <f>-'3STMT_ASSUMPTIONS'!G37*'3STMT_ASSUMPTIONS'!G36/1000</f>
        <v/>
      </c>
      <c r="H13" s="9">
        <f>-'3STMT_ASSUMPTIONS'!H37*'3STMT_ASSUMPTIONS'!H36/1000</f>
        <v/>
      </c>
      <c r="I13" s="9">
        <f>-'3STMT_ASSUMPTIONS'!I37*'3STMT_ASSUMPTIONS'!I36/1000</f>
        <v/>
      </c>
      <c r="J13" s="9">
        <f>-'3STMT_ASSUMPTIONS'!J37*'3STMT_ASSUMPTIONS'!J36/1000</f>
        <v/>
      </c>
      <c r="K13" s="9">
        <f>-'3STMT_ASSUMPTIONS'!K37*'3STMT_ASSUMPTIONS'!K36/1000</f>
        <v/>
      </c>
    </row>
    <row r="14" ht="15" customHeight="1" s="5">
      <c r="A14" s="4" t="inlineStr">
        <is>
          <t>Ending RE (rolled)</t>
        </is>
      </c>
      <c r="B14" s="8">
        <f>B11+B12+B13</f>
        <v/>
      </c>
      <c r="C14" s="8">
        <f>C11+C12+C13</f>
        <v/>
      </c>
      <c r="D14" s="8">
        <f>D11+D12+D13</f>
        <v/>
      </c>
      <c r="E14" s="8">
        <f>E11+E12+E13</f>
        <v/>
      </c>
      <c r="F14" s="8">
        <f>F11+F12+F13</f>
        <v/>
      </c>
      <c r="G14" s="8">
        <f>G11+G12+G13</f>
        <v/>
      </c>
      <c r="H14" s="8">
        <f>H11+H12+H13</f>
        <v/>
      </c>
      <c r="I14" s="8">
        <f>I11+I12+I13</f>
        <v/>
      </c>
      <c r="J14" s="8">
        <f>J11+J12+J13</f>
        <v/>
      </c>
      <c r="K14" s="8">
        <f>K11+K12+K13</f>
        <v/>
      </c>
    </row>
    <row r="15" ht="15" customHeight="1" s="5">
      <c r="A15" s="4" t="inlineStr">
        <is>
          <t xml:space="preserve">  Ending RE (per BS)</t>
        </is>
      </c>
      <c r="B15" s="9">
        <f>'3STMT_BS'!B33</f>
        <v/>
      </c>
      <c r="C15" s="9">
        <f>'3STMT_BS'!C33</f>
        <v/>
      </c>
      <c r="D15" s="9">
        <f>'3STMT_BS'!D33</f>
        <v/>
      </c>
      <c r="E15" s="9">
        <f>'3STMT_BS'!E33</f>
        <v/>
      </c>
      <c r="F15" s="9">
        <f>'3STMT_BS'!F33</f>
        <v/>
      </c>
      <c r="G15" s="9">
        <f>'3STMT_BS'!G33</f>
        <v/>
      </c>
      <c r="H15" s="9">
        <f>'3STMT_BS'!H33</f>
        <v/>
      </c>
      <c r="I15" s="9">
        <f>'3STMT_BS'!I33</f>
        <v/>
      </c>
      <c r="J15" s="9">
        <f>'3STMT_BS'!J33</f>
        <v/>
      </c>
      <c r="K15" s="9">
        <f>'3STMT_BS'!K33</f>
        <v/>
      </c>
    </row>
    <row r="16" ht="15" customHeight="1" s="5">
      <c r="A16" s="4" t="inlineStr">
        <is>
          <t>RE Reconciliation Check</t>
        </is>
      </c>
      <c r="B16" s="8">
        <f>B14-B15</f>
        <v/>
      </c>
      <c r="C16" s="8">
        <f>C14-C15</f>
        <v/>
      </c>
      <c r="D16" s="8">
        <f>D14-D15</f>
        <v/>
      </c>
      <c r="E16" s="8">
        <f>E14-E15</f>
        <v/>
      </c>
      <c r="F16" s="8">
        <f>F14-F15</f>
        <v/>
      </c>
      <c r="G16" s="8">
        <f>G14-G15</f>
        <v/>
      </c>
      <c r="H16" s="8">
        <f>H14-H15</f>
        <v/>
      </c>
      <c r="I16" s="8">
        <f>I14-I15</f>
        <v/>
      </c>
      <c r="J16" s="8">
        <f>J14-J15</f>
        <v/>
      </c>
      <c r="K16" s="8">
        <f>K14-K15</f>
        <v/>
      </c>
    </row>
    <row r="18" ht="15" customHeight="1" s="5">
      <c r="A18" s="4" t="inlineStr">
        <is>
          <t>FREE CASH FLOW CALCULATION</t>
        </is>
      </c>
    </row>
    <row r="19" ht="15" customHeight="1" s="5">
      <c r="A19" s="4" t="inlineStr">
        <is>
          <t xml:space="preserve">  Cash from Operations</t>
        </is>
      </c>
      <c r="B19" s="9">
        <f>'3STMT_CF'!B14</f>
        <v/>
      </c>
      <c r="C19" s="9">
        <f>'3STMT_CF'!C14</f>
        <v/>
      </c>
      <c r="D19" s="9">
        <f>'3STMT_CF'!D14</f>
        <v/>
      </c>
      <c r="E19" s="9">
        <f>'3STMT_CF'!E14</f>
        <v/>
      </c>
      <c r="F19" s="9">
        <f>'3STMT_CF'!F14</f>
        <v/>
      </c>
      <c r="G19" s="9">
        <f>'3STMT_CF'!G14</f>
        <v/>
      </c>
      <c r="H19" s="9">
        <f>'3STMT_CF'!H14</f>
        <v/>
      </c>
      <c r="I19" s="9">
        <f>'3STMT_CF'!I14</f>
        <v/>
      </c>
      <c r="J19" s="9">
        <f>'3STMT_CF'!J14</f>
        <v/>
      </c>
      <c r="K19" s="9">
        <f>'3STMT_CF'!K14</f>
        <v/>
      </c>
    </row>
    <row r="20" ht="15" customHeight="1" s="5">
      <c r="A20" s="4" t="inlineStr">
        <is>
          <t xml:space="preserve">  Less: CapEx</t>
        </is>
      </c>
      <c r="B20" s="9">
        <f>'3STMT_CF'!B17</f>
        <v/>
      </c>
      <c r="C20" s="9">
        <f>'3STMT_CF'!C17</f>
        <v/>
      </c>
      <c r="D20" s="9">
        <f>'3STMT_CF'!D17</f>
        <v/>
      </c>
      <c r="E20" s="9">
        <f>'3STMT_CF'!E17</f>
        <v/>
      </c>
      <c r="F20" s="9">
        <f>'3STMT_CF'!F17</f>
        <v/>
      </c>
      <c r="G20" s="9">
        <f>'3STMT_CF'!G17</f>
        <v/>
      </c>
      <c r="H20" s="9">
        <f>'3STMT_CF'!H17</f>
        <v/>
      </c>
      <c r="I20" s="9">
        <f>'3STMT_CF'!I17</f>
        <v/>
      </c>
      <c r="J20" s="9">
        <f>'3STMT_CF'!J17</f>
        <v/>
      </c>
      <c r="K20" s="9">
        <f>'3STMT_CF'!K17</f>
        <v/>
      </c>
    </row>
    <row r="21" ht="15" customHeight="1" s="5">
      <c r="A21" s="4" t="inlineStr">
        <is>
          <t>Free Cash Flow</t>
        </is>
      </c>
      <c r="B21" s="8">
        <f>B19+B20</f>
        <v/>
      </c>
      <c r="C21" s="8">
        <f>C19+C20</f>
        <v/>
      </c>
      <c r="D21" s="8">
        <f>D19+D20</f>
        <v/>
      </c>
      <c r="E21" s="8">
        <f>E19+E20</f>
        <v/>
      </c>
      <c r="F21" s="8">
        <f>F19+F20</f>
        <v/>
      </c>
      <c r="G21" s="8">
        <f>G19+G20</f>
        <v/>
      </c>
      <c r="H21" s="8">
        <f>H19+H20</f>
        <v/>
      </c>
      <c r="I21" s="8">
        <f>I19+I20</f>
        <v/>
      </c>
      <c r="J21" s="8">
        <f>J19+J20</f>
        <v/>
      </c>
      <c r="K21" s="8">
        <f>K19+K20</f>
        <v/>
      </c>
    </row>
    <row r="22" ht="15" customHeight="1" s="5">
      <c r="A22" s="4" t="inlineStr">
        <is>
          <t xml:space="preserve">    FCF margin %</t>
        </is>
      </c>
      <c r="B22" s="9">
        <f>B21/'3STMT_IS'!B9</f>
        <v/>
      </c>
      <c r="C22" s="9">
        <f>C21/'3STMT_IS'!C9</f>
        <v/>
      </c>
      <c r="D22" s="9">
        <f>D21/'3STMT_IS'!D9</f>
        <v/>
      </c>
      <c r="E22" s="9">
        <f>E21/'3STMT_IS'!E9</f>
        <v/>
      </c>
      <c r="F22" s="9">
        <f>F21/'3STMT_IS'!F9</f>
        <v/>
      </c>
      <c r="G22" s="9">
        <f>G21/'3STMT_IS'!G9</f>
        <v/>
      </c>
      <c r="H22" s="9">
        <f>H21/'3STMT_IS'!H9</f>
        <v/>
      </c>
      <c r="I22" s="9">
        <f>I21/'3STMT_IS'!I9</f>
        <v/>
      </c>
      <c r="J22" s="9">
        <f>J21/'3STMT_IS'!J9</f>
        <v/>
      </c>
      <c r="K22" s="9">
        <f>K21/'3STMT_IS'!K9</f>
        <v/>
      </c>
    </row>
    <row r="23" ht="15" customHeight="1" s="5">
      <c r="A23" s="4" t="inlineStr">
        <is>
          <t xml:space="preserve">    FCF conversion (FCF / EBITDA)</t>
        </is>
      </c>
      <c r="B23" s="9">
        <f>B21/'3STMT_IS'!B22</f>
        <v/>
      </c>
      <c r="C23" s="9">
        <f>C21/'3STMT_IS'!C22</f>
        <v/>
      </c>
      <c r="D23" s="9">
        <f>D21/'3STMT_IS'!D22</f>
        <v/>
      </c>
      <c r="E23" s="9">
        <f>E21/'3STMT_IS'!E22</f>
        <v/>
      </c>
      <c r="F23" s="9">
        <f>F21/'3STMT_IS'!F22</f>
        <v/>
      </c>
      <c r="G23" s="9">
        <f>G21/'3STMT_IS'!G22</f>
        <v/>
      </c>
      <c r="H23" s="9">
        <f>H21/'3STMT_IS'!H22</f>
        <v/>
      </c>
      <c r="I23" s="9">
        <f>I21/'3STMT_IS'!I22</f>
        <v/>
      </c>
      <c r="J23" s="9">
        <f>J21/'3STMT_IS'!J22</f>
        <v/>
      </c>
      <c r="K23" s="9">
        <f>K21/'3STMT_IS'!K22</f>
        <v/>
      </c>
    </row>
    <row r="25" ht="15" customHeight="1" s="5">
      <c r="A25" s="4" t="inlineStr">
        <is>
          <t>ADJ EBITDA → NET INCOME BRIDGE</t>
        </is>
      </c>
    </row>
    <row r="26" ht="15" customHeight="1" s="5">
      <c r="A26" s="4" t="inlineStr">
        <is>
          <t xml:space="preserve">  Adjusted EBITDA</t>
        </is>
      </c>
      <c r="B26" s="9">
        <f>'3STMT_IS'!B22</f>
        <v/>
      </c>
      <c r="C26" s="9">
        <f>'3STMT_IS'!C22</f>
        <v/>
      </c>
      <c r="D26" s="9">
        <f>'3STMT_IS'!D22</f>
        <v/>
      </c>
      <c r="E26" s="9">
        <f>'3STMT_IS'!E22</f>
        <v/>
      </c>
      <c r="F26" s="9">
        <f>'3STMT_IS'!F22</f>
        <v/>
      </c>
      <c r="G26" s="9">
        <f>'3STMT_IS'!G22</f>
        <v/>
      </c>
      <c r="H26" s="9">
        <f>'3STMT_IS'!H22</f>
        <v/>
      </c>
      <c r="I26" s="9">
        <f>'3STMT_IS'!I22</f>
        <v/>
      </c>
      <c r="J26" s="9">
        <f>'3STMT_IS'!J22</f>
        <v/>
      </c>
      <c r="K26" s="9">
        <f>'3STMT_IS'!K22</f>
        <v/>
      </c>
    </row>
    <row r="27" ht="15" customHeight="1" s="5">
      <c r="A27" s="4" t="inlineStr">
        <is>
          <t xml:space="preserve">    Less: D&amp;A</t>
        </is>
      </c>
      <c r="B27" s="9">
        <f>'3STMT_IS'!B24</f>
        <v/>
      </c>
      <c r="C27" s="9">
        <f>'3STMT_IS'!C24</f>
        <v/>
      </c>
      <c r="D27" s="9">
        <f>'3STMT_IS'!D24</f>
        <v/>
      </c>
      <c r="E27" s="9">
        <f>'3STMT_IS'!E24</f>
        <v/>
      </c>
      <c r="F27" s="9">
        <f>'3STMT_IS'!F24</f>
        <v/>
      </c>
      <c r="G27" s="9">
        <f>'3STMT_IS'!G24</f>
        <v/>
      </c>
      <c r="H27" s="9">
        <f>'3STMT_IS'!H24</f>
        <v/>
      </c>
      <c r="I27" s="9">
        <f>'3STMT_IS'!I24</f>
        <v/>
      </c>
      <c r="J27" s="9">
        <f>'3STMT_IS'!J24</f>
        <v/>
      </c>
      <c r="K27" s="9">
        <f>'3STMT_IS'!K24</f>
        <v/>
      </c>
    </row>
    <row r="28" ht="15" customHeight="1" s="5">
      <c r="A28" s="4" t="inlineStr">
        <is>
          <t xml:space="preserve">    Less: Net interest</t>
        </is>
      </c>
      <c r="B28" s="9">
        <f>'3STMT_IS'!B27</f>
        <v/>
      </c>
      <c r="C28" s="9">
        <f>'3STMT_IS'!C27</f>
        <v/>
      </c>
      <c r="D28" s="9">
        <f>'3STMT_IS'!D27</f>
        <v/>
      </c>
      <c r="E28" s="9">
        <f>'3STMT_IS'!E27</f>
        <v/>
      </c>
      <c r="F28" s="9">
        <f>'3STMT_IS'!F27</f>
        <v/>
      </c>
      <c r="G28" s="9">
        <f>'3STMT_IS'!G27</f>
        <v/>
      </c>
      <c r="H28" s="9">
        <f>'3STMT_IS'!H27</f>
        <v/>
      </c>
      <c r="I28" s="9">
        <f>'3STMT_IS'!I27</f>
        <v/>
      </c>
      <c r="J28" s="9">
        <f>'3STMT_IS'!J27</f>
        <v/>
      </c>
      <c r="K28" s="9">
        <f>'3STMT_IS'!K27</f>
        <v/>
      </c>
    </row>
    <row r="29" ht="15" customHeight="1" s="5">
      <c r="A29" s="4" t="inlineStr">
        <is>
          <t xml:space="preserve">    Less: Cash taxes</t>
        </is>
      </c>
      <c r="B29" s="9">
        <f>'3STMT_IS'!B29</f>
        <v/>
      </c>
      <c r="C29" s="9">
        <f>'3STMT_IS'!C29</f>
        <v/>
      </c>
      <c r="D29" s="9">
        <f>'3STMT_IS'!D29</f>
        <v/>
      </c>
      <c r="E29" s="9">
        <f>'3STMT_IS'!E29</f>
        <v/>
      </c>
      <c r="F29" s="9">
        <f>'3STMT_IS'!F29</f>
        <v/>
      </c>
      <c r="G29" s="9">
        <f>'3STMT_IS'!G29</f>
        <v/>
      </c>
      <c r="H29" s="9">
        <f>'3STMT_IS'!H29</f>
        <v/>
      </c>
      <c r="I29" s="9">
        <f>'3STMT_IS'!I29</f>
        <v/>
      </c>
      <c r="J29" s="9">
        <f>'3STMT_IS'!J29</f>
        <v/>
      </c>
      <c r="K29" s="9">
        <f>'3STMT_IS'!K29</f>
        <v/>
      </c>
    </row>
    <row r="30" ht="15" customHeight="1" s="5">
      <c r="A30" s="4" t="inlineStr">
        <is>
          <t>Adjusted Net Income</t>
        </is>
      </c>
      <c r="B30" s="9">
        <f>'3STMT_IS'!B30</f>
        <v/>
      </c>
      <c r="C30" s="9">
        <f>'3STMT_IS'!C30</f>
        <v/>
      </c>
      <c r="D30" s="9">
        <f>'3STMT_IS'!D30</f>
        <v/>
      </c>
      <c r="E30" s="9">
        <f>'3STMT_IS'!E30</f>
        <v/>
      </c>
      <c r="F30" s="9">
        <f>'3STMT_IS'!F30</f>
        <v/>
      </c>
      <c r="G30" s="9">
        <f>'3STMT_IS'!G30</f>
        <v/>
      </c>
      <c r="H30" s="9">
        <f>'3STMT_IS'!H30</f>
        <v/>
      </c>
      <c r="I30" s="9">
        <f>'3STMT_IS'!I30</f>
        <v/>
      </c>
      <c r="J30" s="9">
        <f>'3STMT_IS'!J30</f>
        <v/>
      </c>
      <c r="K30" s="9">
        <f>'3STMT_IS'!K30</f>
        <v/>
      </c>
    </row>
  </sheetData>
  <mergeCells count="1">
    <mergeCell ref="A1:K1"/>
  </mergeCells>
  <printOptions horizontalCentered="1" verticalCentered="0" headings="0" gridLines="0" gridLinesSet="1"/>
  <pageMargins left="0.5" right="0.5" top="0.5" bottom="0.5" header="0.3" footer="0.3"/>
  <pageSetup orientation="landscape" paperSize="1" scale="100" fitToHeight="0" fitToWidth="1" pageOrder="downThenOver" blackAndWhite="0" draft="0" horizontalDpi="300" verticalDpi="300" copies="1"/>
  <headerFooter differentOddEven="0" differentFirst="0">
    <oddHeader>&amp;L&amp;8 &amp;K3C3F453STMT_RECON&amp;C&amp;K0d27473STMT_RECON&amp;R&amp;8 &amp;KC89000BARATELLI INSTITUTE  *  MENTORING AT SCALE</oddHeader>
    <oddFooter>&amp;L&amp;8 &amp;K3C3F45baratelliinstitute.com&amp;C&amp;8 &amp;K3C3F45Page &amp;P of &amp;N&amp;R&amp;8 &amp;K3C3F45Danaher Compounder 2026</oddFooter>
    <evenHeader/>
    <evenFooter/>
    <firstHeader/>
    <firstFooter/>
  </headerFooter>
</worksheet>
</file>

<file path=xl/worksheets/sheet3.xml><?xml version="1.0" encoding="utf-8"?>
<worksheet xmlns="http://schemas.openxmlformats.org/spreadsheetml/2006/main">
  <sheetPr filterMode="0">
    <tabColor rgb="FF0A1F3A"/>
    <outlinePr summaryBelow="1" summaryRight="1"/>
    <pageSetUpPr fitToPage="1"/>
  </sheetPr>
  <dimension ref="B1:D31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A1" activeCellId="0" sqref="A1"/>
    </sheetView>
  </sheetViews>
  <sheetFormatPr baseColWidth="8" defaultColWidth="8.6796875" defaultRowHeight="15" customHeight="0" zeroHeight="0" outlineLevelRow="0"/>
  <cols>
    <col width="34" customWidth="1" style="4" min="1" max="1"/>
    <col width="26" customWidth="1" style="4" min="2" max="2"/>
    <col width="68" customWidth="1" style="4" min="3" max="3"/>
    <col width="13" customWidth="1" style="4" min="4" max="4"/>
  </cols>
  <sheetData>
    <row r="1" ht="21.75" customFormat="1" customHeight="1" s="4">
      <c r="B1" s="4" t="inlineStr">
        <is>
          <t>THE BARATELLI PRACTITIONER CASE MEMO  ·  JULY 6, 2026</t>
        </is>
      </c>
    </row>
    <row r="2" ht="30" customFormat="1" customHeight="1" s="4">
      <c r="B2" s="4" t="inlineStr">
        <is>
          <t>DANAHER — THE COMPOUNDING MACHINE</t>
        </is>
      </c>
    </row>
    <row r="3" ht="3" customFormat="1" customHeight="1" s="4"/>
    <row r="4" ht="13.5" customFormat="1" customHeight="1" s="4">
      <c r="B4" s="4" t="inlineStr">
        <is>
          <t>The Baratelli Practitioner Case Model  ·  Companion to the memo</t>
        </is>
      </c>
    </row>
    <row r="5" ht="43.5" customFormat="1" customHeight="1" s="4">
      <c r="B5" s="4" t="inlineStr">
        <is>
          <t>Forty years, 400+ acquisitions, three spinoffs, one operating system. This workbook builds the arithmetic behind the Danaher four-decade compounding record, the current life-sciences platform, the four-entity sum-of-the-parts (DHR + FTV + NVST + VLTO), and the DBS-premium quantification.</t>
        </is>
      </c>
    </row>
    <row r="6" ht="15.75" customFormat="1" customHeight="1" s="4">
      <c r="B6" s="4" t="inlineStr">
        <is>
          <t>CONTENTS</t>
        </is>
      </c>
    </row>
    <row r="7" ht="21.75" customFormat="1" customHeight="1" s="4">
      <c r="B7" s="4" t="inlineStr">
        <is>
          <t>Tab</t>
        </is>
      </c>
      <c r="C7" s="4" t="inlineStr">
        <is>
          <t>Description</t>
        </is>
      </c>
      <c r="D7" s="4" t="inlineStr">
        <is>
          <t>Go</t>
        </is>
      </c>
    </row>
    <row r="8" ht="18" customFormat="1" customHeight="1" s="4">
      <c r="B8" s="4" t="inlineStr">
        <is>
          <t>ASSUMPTIONS</t>
        </is>
      </c>
      <c r="C8" s="4" t="inlineStr">
        <is>
          <t>Key inputs: share price, share count, WACC, peer multiples, growth rates, segment margins.</t>
        </is>
      </c>
      <c r="D8" s="6" t="inlineStr">
        <is>
          <t>→</t>
        </is>
      </c>
    </row>
    <row r="9" ht="18" customFormat="1" customHeight="1" s="4">
      <c r="B9" s="4" t="inlineStr">
        <is>
          <t>DHR_STANDALONE</t>
        </is>
      </c>
      <c r="C9" s="4" t="inlineStr">
        <is>
          <t>Danaher standalone financials FY2022 through Q2 2026 (Table 7a + valuation frame).</t>
        </is>
      </c>
      <c r="D9" s="6" t="inlineStr">
        <is>
          <t>→</t>
        </is>
      </c>
    </row>
    <row r="10" ht="18" customFormat="1" customHeight="1" s="4">
      <c r="B10" s="4" t="inlineStr">
        <is>
          <t>SEGMENT_BUILD</t>
        </is>
      </c>
      <c r="C10" s="4" t="inlineStr">
        <is>
          <t>Life Sciences / Diagnostics / Biotech revenue and margin build (Table 6a + 6b).</t>
        </is>
      </c>
      <c r="D10" s="6" t="inlineStr">
        <is>
          <t>→</t>
        </is>
      </c>
    </row>
    <row r="11" ht="18" customFormat="1" customHeight="1" s="4">
      <c r="B11" s="4" t="inlineStr">
        <is>
          <t>ACQ_RECORD</t>
        </is>
      </c>
      <c r="C11" s="4" t="inlineStr">
        <is>
          <t>Acquisitions by decade summary (Table 4a) + six landmark acquisitions (Table 4b).</t>
        </is>
      </c>
      <c r="D11" s="6" t="inlineStr">
        <is>
          <t>→</t>
        </is>
      </c>
    </row>
    <row r="12" ht="18" customFormat="1" customHeight="1" s="4">
      <c r="B12" s="4" t="inlineStr">
        <is>
          <t>DBS_METRICS</t>
        </is>
      </c>
      <c r="C12" s="4" t="inlineStr">
        <is>
          <t>DBS integration success metrics — margin uplift, working capital cycle, kaizen impact.</t>
        </is>
      </c>
      <c r="D12" s="6" t="inlineStr">
        <is>
          <t>→</t>
        </is>
      </c>
    </row>
    <row r="13" ht="18" customFormat="1" customHeight="1" s="4">
      <c r="B13" s="4" t="inlineStr">
        <is>
          <t>SPINOFF_DATA</t>
        </is>
      </c>
      <c r="C13" s="4" t="inlineStr">
        <is>
          <t>Fortive / Envista / Veralto standalone financials and market caps (Table 5a + 5b).</t>
        </is>
      </c>
      <c r="D13" s="6" t="inlineStr">
        <is>
          <t>→</t>
        </is>
      </c>
    </row>
    <row r="14" ht="18" customFormat="1" customHeight="1" s="4">
      <c r="B14" s="4" t="inlineStr">
        <is>
          <t>SOTP_4WAY</t>
        </is>
      </c>
      <c r="C14" s="4" t="inlineStr">
        <is>
          <t>DHR + FTV + NVST + VLTO sum-of-the-parts (Table 9a). ~$236B aggregate market cap.</t>
        </is>
      </c>
      <c r="D14" s="6" t="inlineStr">
        <is>
          <t>→</t>
        </is>
      </c>
    </row>
    <row r="15" ht="18" customFormat="1" customHeight="1" s="4">
      <c r="B15" s="4" t="inlineStr">
        <is>
          <t>PEER_COMPS</t>
        </is>
      </c>
      <c r="C15" s="4" t="inlineStr">
        <is>
          <t>Life Sciences / Diagnostics tools peer set (Table 8b): TMO, A, WAT, MTD, TECH, DIM.PA, RVTY, BRKR.</t>
        </is>
      </c>
      <c r="D15" s="6" t="inlineStr">
        <is>
          <t>→</t>
        </is>
      </c>
    </row>
    <row r="16" ht="18" customFormat="1" customHeight="1" s="4">
      <c r="B16" s="4" t="inlineStr">
        <is>
          <t>DCF_VALUATION</t>
        </is>
      </c>
      <c r="C16" s="4" t="inlineStr">
        <is>
          <t>DCF sensitivity (Table 8c): WACC 8-10%, terminal growth 2-3.5%, implied share price grid.</t>
        </is>
      </c>
      <c r="D16" s="6" t="inlineStr">
        <is>
          <t>→</t>
        </is>
      </c>
    </row>
    <row r="17" ht="18" customFormat="1" customHeight="1" s="4">
      <c r="B17" s="4" t="inlineStr">
        <is>
          <t>MULTIPLE_SENS</t>
        </is>
      </c>
      <c r="C17" s="4" t="inlineStr">
        <is>
          <t>Peer multiple sensitivity — 22x, 25x, 28x EV/EBITDA implied share price.</t>
        </is>
      </c>
      <c r="D17" s="6" t="inlineStr">
        <is>
          <t>→</t>
        </is>
      </c>
    </row>
    <row r="18" ht="18" customFormat="1" customHeight="1" s="4">
      <c r="B18" s="4" t="inlineStr">
        <is>
          <t>CYTIVA_PLATFORM</t>
        </is>
      </c>
      <c r="C18" s="4" t="inlineStr">
        <is>
          <t>Cytiva + Aldevron + Abcam biotech-platform financials and integration status (Table 6c + 10a).</t>
        </is>
      </c>
      <c r="D18" s="6" t="inlineStr">
        <is>
          <t>→</t>
        </is>
      </c>
    </row>
    <row r="19" ht="18" customFormat="1" customHeight="1" s="4">
      <c r="B19" s="4" t="inlineStr">
        <is>
          <t>DBS_PREMIUM</t>
        </is>
      </c>
      <c r="C19" s="4" t="inlineStr">
        <is>
          <t>DBS premium quantified: Danaher vs. non-DBS peers (Table 9b). ~6-8 EV/EBITDA turns aggregate.</t>
        </is>
      </c>
      <c r="D19" s="6" t="inlineStr">
        <is>
          <t>→</t>
        </is>
      </c>
    </row>
    <row r="20" ht="18" customFormat="1" customHeight="1" s="4">
      <c r="B20" s="4" t="inlineStr">
        <is>
          <t>RISK_SCENARIOS</t>
        </is>
      </c>
      <c r="C20" s="4" t="inlineStr">
        <is>
          <t>Three scenarios — base, bull, bear — with implied valuation range.</t>
        </is>
      </c>
      <c r="D20" s="6" t="inlineStr">
        <is>
          <t>→</t>
        </is>
      </c>
    </row>
    <row r="21" ht="15" customFormat="1" customHeight="1" s="4"/>
    <row r="22" ht="19.5" customFormat="1" customHeight="1" s="4">
      <c r="B22" s="4" t="inlineStr">
        <is>
          <t>3STMT_ASSUMPTIONS</t>
        </is>
      </c>
      <c r="C22" s="4" t="inlineStr">
        <is>
          <t>Three-statement driver assumptions — revenue growth by segment, EBITDA margins, WC days, tax, debt structure.</t>
        </is>
      </c>
      <c r="D22" s="4" t="inlineStr">
        <is>
          <t>→</t>
        </is>
      </c>
    </row>
    <row r="23" ht="15" customHeight="1" s="5">
      <c r="B23" s="4" t="inlineStr">
        <is>
          <t>3STMT_IS</t>
        </is>
      </c>
      <c r="C23" s="4" t="inlineStr">
        <is>
          <t>Income statement FY22-FY30E: revenue by segment, EBITDA, EBIT, net income, EPS.</t>
        </is>
      </c>
      <c r="D23" s="4" t="inlineStr">
        <is>
          <t>→</t>
        </is>
      </c>
    </row>
    <row r="24" ht="15" customHeight="1" s="5">
      <c r="B24" s="4" t="inlineStr">
        <is>
          <t>3STMT_BS</t>
        </is>
      </c>
      <c r="C24" s="4" t="inlineStr">
        <is>
          <t>Balance sheet FY22-FY30E with balance-check row; balances to zero every period.</t>
        </is>
      </c>
      <c r="D24" s="4" t="inlineStr">
        <is>
          <t>→</t>
        </is>
      </c>
    </row>
    <row r="25" ht="15" customHeight="1" s="5">
      <c r="B25" s="4" t="inlineStr">
        <is>
          <t>3STMT_CF</t>
        </is>
      </c>
      <c r="C25" s="4" t="inlineStr">
        <is>
          <t>Cash flow statement — operating, investing, financing; ties to BS cash.</t>
        </is>
      </c>
      <c r="D25" s="4" t="inlineStr">
        <is>
          <t>→</t>
        </is>
      </c>
    </row>
    <row r="26" ht="15" customHeight="1" s="5">
      <c r="B26" s="4" t="inlineStr">
        <is>
          <t>3STMT_WC</t>
        </is>
      </c>
      <c r="C26" s="4" t="inlineStr">
        <is>
          <t>Working capital detail — DSO/DIO/DPO, cash conversion cycle, ΔNWC.</t>
        </is>
      </c>
      <c r="D26" s="4" t="inlineStr">
        <is>
          <t>→</t>
        </is>
      </c>
    </row>
    <row r="27" ht="15" customHeight="1" s="5">
      <c r="B27" s="4" t="inlineStr">
        <is>
          <t>3STMT_DEBT</t>
        </is>
      </c>
      <c r="C27" s="4" t="inlineStr">
        <is>
          <t>Debt schedule with cash-sweep waterfall — Revolver/TLA/TLB/Notes; ties to BS long-term debt.</t>
        </is>
      </c>
      <c r="D27" s="4" t="inlineStr">
        <is>
          <t>→</t>
        </is>
      </c>
    </row>
    <row r="28" ht="15" customHeight="1" s="5">
      <c r="B28" s="4" t="inlineStr">
        <is>
          <t>3STMT_RECON</t>
        </is>
      </c>
      <c r="C28" s="4" t="inlineStr">
        <is>
          <t>Reconciliations &amp; checks — BS integrity, cash tie, debt tie, retained-earnings roll, FCF, EBITDA bridge.</t>
        </is>
      </c>
      <c r="D28" s="4" t="inlineStr">
        <is>
          <t>→</t>
        </is>
      </c>
    </row>
    <row r="29" ht="15" customHeight="1" s="5">
      <c r="B29" s="4" t="inlineStr">
        <is>
          <t>3STMT_COVENANTS</t>
        </is>
      </c>
      <c r="C29" s="4" t="inlineStr">
        <is>
          <t>Debt covenant compliance — leverage, interest coverage, CFO/debt. Investment-grade, all pass.</t>
        </is>
      </c>
      <c r="D29" s="4" t="inlineStr">
        <is>
          <t>→</t>
        </is>
      </c>
    </row>
    <row r="31" ht="15" customHeight="1" s="5">
      <c r="B31" s="4" t="inlineStr">
        <is>
          <t>Illustrative practitioner model. Not investment advice, not a rumor, not a recommendation. Baratelli Institute · July 6, 2026.</t>
        </is>
      </c>
    </row>
  </sheetData>
  <mergeCells count="6">
    <mergeCell ref="B5:D5"/>
    <mergeCell ref="B31:D31"/>
    <mergeCell ref="B1:D1"/>
    <mergeCell ref="B4:D4"/>
    <mergeCell ref="B6:D6"/>
    <mergeCell ref="B2:D2"/>
  </mergeCells>
  <hyperlinks>
    <hyperlink xmlns:r="http://schemas.openxmlformats.org/officeDocument/2006/relationships" ref="D8" location="ASSUMPTIONS!A1" display="→" r:id="rId1"/>
    <hyperlink xmlns:r="http://schemas.openxmlformats.org/officeDocument/2006/relationships" ref="D9" location="DHR_STANDALONE!A1" display="→" r:id="rId2"/>
    <hyperlink xmlns:r="http://schemas.openxmlformats.org/officeDocument/2006/relationships" ref="D10" location="SEGMENT_BUILD!A1" display="→" r:id="rId3"/>
    <hyperlink xmlns:r="http://schemas.openxmlformats.org/officeDocument/2006/relationships" ref="D11" location="ACQ_RECORD!A1" display="→" r:id="rId4"/>
    <hyperlink xmlns:r="http://schemas.openxmlformats.org/officeDocument/2006/relationships" ref="D12" location="DBS_METRICS!A1" display="→" r:id="rId5"/>
    <hyperlink xmlns:r="http://schemas.openxmlformats.org/officeDocument/2006/relationships" ref="D13" location="SPINOFF_DATA!A1" display="→" r:id="rId6"/>
    <hyperlink xmlns:r="http://schemas.openxmlformats.org/officeDocument/2006/relationships" ref="D14" location="SOTP_4WAY!A1" display="→" r:id="rId7"/>
    <hyperlink xmlns:r="http://schemas.openxmlformats.org/officeDocument/2006/relationships" ref="D15" location="PEER_COMPS!A1" display="→" r:id="rId8"/>
    <hyperlink xmlns:r="http://schemas.openxmlformats.org/officeDocument/2006/relationships" ref="D16" location="DCF_VALUATION!A1" display="→" r:id="rId9"/>
    <hyperlink xmlns:r="http://schemas.openxmlformats.org/officeDocument/2006/relationships" ref="D17" location="MULTIPLE_SENS!A1" display="→" r:id="rId10"/>
    <hyperlink xmlns:r="http://schemas.openxmlformats.org/officeDocument/2006/relationships" ref="D18" location="CYTIVA_PLATFORM!A1" display="→" r:id="rId11"/>
    <hyperlink xmlns:r="http://schemas.openxmlformats.org/officeDocument/2006/relationships" ref="D19" location="DBS_PREMIUM!A1" display="→" r:id="rId12"/>
    <hyperlink xmlns:r="http://schemas.openxmlformats.org/officeDocument/2006/relationships" ref="D20" location="RISK_SCENARIOS!A1" display="→" r:id="rId13"/>
  </hyperlinks>
  <printOptions horizontalCentered="1" verticalCentered="0" headings="0" gridLines="0" gridLinesSet="1"/>
  <pageMargins left="0.5" right="0.5" top="0.5" bottom="0.5" header="0.3" footer="0.3"/>
  <pageSetup orientation="landscape" paperSize="1" scale="100" fitToHeight="0" fitToWidth="1" pageOrder="downThenOver" blackAndWhite="0" draft="0" horizontalDpi="300" verticalDpi="300" copies="1"/>
  <headerFooter differentOddEven="0" differentFirst="0">
    <oddHeader>&amp;L&amp;8 &amp;K3C3F45INDEX&amp;C&amp;9 &amp;K0d2747INDEX&amp;R&amp;8 &amp;KC89000BARATELLI INSTITUTE  *  MENTORING AT SCALE</oddHeader>
    <oddFooter>&amp;L&amp;8 &amp;K3C3F45baratelliinstitute.com&amp;C&amp;8 &amp;K3C3F45Page &amp;P of &amp;N&amp;R&amp;8 &amp;K3C3F45Danaher Compounder 2026</oddFooter>
    <evenHeader/>
    <evenFooter/>
    <firstHeader/>
    <firstFooter/>
  </headerFooter>
</worksheet>
</file>

<file path=xl/worksheets/sheet30.xml><?xml version="1.0" encoding="utf-8"?>
<worksheet xmlns="http://schemas.openxmlformats.org/spreadsheetml/2006/main">
  <sheetPr filterMode="0">
    <outlinePr summaryBelow="1" summaryRight="1"/>
    <pageSetUpPr fitToPage="1"/>
  </sheetPr>
  <dimension ref="A1:K26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baseColWidth="8" defaultColWidth="8.6796875" defaultRowHeight="15" customHeight="0" zeroHeight="0" outlineLevelRow="0"/>
  <cols>
    <col width="40" customWidth="1" style="4" min="1" max="1"/>
    <col width="12" customWidth="1" style="4" min="2" max="11"/>
  </cols>
  <sheetData>
    <row r="1" ht="15" customHeight="1" s="5">
      <c r="A1" s="4" t="inlineStr">
        <is>
          <t>DANAHER — DEBT COVENANT COMPLIANCE</t>
        </is>
      </c>
    </row>
    <row r="3" ht="15" customHeight="1" s="5">
      <c r="A3" s="4" t="inlineStr">
        <is>
          <t>($B unless noted)</t>
        </is>
      </c>
      <c r="B3" s="4" t="inlineStr">
        <is>
          <t>FY22A</t>
        </is>
      </c>
      <c r="C3" s="4" t="inlineStr">
        <is>
          <t>FY23A</t>
        </is>
      </c>
      <c r="D3" s="4" t="inlineStr">
        <is>
          <t>FY24A</t>
        </is>
      </c>
      <c r="E3" s="4" t="inlineStr">
        <is>
          <t>FY25A</t>
        </is>
      </c>
      <c r="F3" s="4" t="inlineStr">
        <is>
          <t>LTM Q2'26</t>
        </is>
      </c>
      <c r="G3" s="4" t="inlineStr">
        <is>
          <t>FY26E</t>
        </is>
      </c>
      <c r="H3" s="4" t="inlineStr">
        <is>
          <t>FY27E</t>
        </is>
      </c>
      <c r="I3" s="4" t="inlineStr">
        <is>
          <t>FY28E</t>
        </is>
      </c>
      <c r="J3" s="4" t="inlineStr">
        <is>
          <t>FY29E</t>
        </is>
      </c>
      <c r="K3" s="4" t="inlineStr">
        <is>
          <t>FY30E</t>
        </is>
      </c>
    </row>
    <row r="5" ht="15" customHeight="1" s="5">
      <c r="A5" s="4" t="inlineStr">
        <is>
          <t>COVENANT METRICS</t>
        </is>
      </c>
    </row>
    <row r="6" ht="15" customHeight="1" s="5">
      <c r="A6" s="4" t="inlineStr">
        <is>
          <t xml:space="preserve">  Total Debt</t>
        </is>
      </c>
      <c r="B6" s="9">
        <f>'3STMT_DEBT'!B33</f>
        <v/>
      </c>
      <c r="C6" s="9">
        <f>'3STMT_DEBT'!C33</f>
        <v/>
      </c>
      <c r="D6" s="9">
        <f>'3STMT_DEBT'!D33</f>
        <v/>
      </c>
      <c r="E6" s="9">
        <f>'3STMT_DEBT'!E33</f>
        <v/>
      </c>
      <c r="F6" s="9">
        <f>'3STMT_DEBT'!F33</f>
        <v/>
      </c>
      <c r="G6" s="9">
        <f>'3STMT_DEBT'!G33</f>
        <v/>
      </c>
      <c r="H6" s="9">
        <f>'3STMT_DEBT'!H33</f>
        <v/>
      </c>
      <c r="I6" s="9">
        <f>'3STMT_DEBT'!I33</f>
        <v/>
      </c>
      <c r="J6" s="9">
        <f>'3STMT_DEBT'!J33</f>
        <v/>
      </c>
      <c r="K6" s="9">
        <f>'3STMT_DEBT'!K33</f>
        <v/>
      </c>
    </row>
    <row r="7" ht="15" customHeight="1" s="5">
      <c r="A7" s="4" t="inlineStr">
        <is>
          <t xml:space="preserve">  Adjusted EBITDA</t>
        </is>
      </c>
      <c r="B7" s="9">
        <f>'3STMT_IS'!B22</f>
        <v/>
      </c>
      <c r="C7" s="9">
        <f>'3STMT_IS'!C22</f>
        <v/>
      </c>
      <c r="D7" s="9">
        <f>'3STMT_IS'!D22</f>
        <v/>
      </c>
      <c r="E7" s="9">
        <f>'3STMT_IS'!E22</f>
        <v/>
      </c>
      <c r="F7" s="9">
        <f>'3STMT_IS'!F22</f>
        <v/>
      </c>
      <c r="G7" s="9">
        <f>'3STMT_IS'!G22</f>
        <v/>
      </c>
      <c r="H7" s="9">
        <f>'3STMT_IS'!H22</f>
        <v/>
      </c>
      <c r="I7" s="9">
        <f>'3STMT_IS'!I22</f>
        <v/>
      </c>
      <c r="J7" s="9">
        <f>'3STMT_IS'!J22</f>
        <v/>
      </c>
      <c r="K7" s="9">
        <f>'3STMT_IS'!K22</f>
        <v/>
      </c>
    </row>
    <row r="8" ht="15" customHeight="1" s="5">
      <c r="A8" s="4" t="inlineStr">
        <is>
          <t xml:space="preserve">  Interest Expense (gross)</t>
        </is>
      </c>
      <c r="B8" s="9">
        <f>'3STMT_DEBT'!B34</f>
        <v/>
      </c>
      <c r="C8" s="9">
        <f>'3STMT_DEBT'!C34</f>
        <v/>
      </c>
      <c r="D8" s="9">
        <f>'3STMT_DEBT'!D34</f>
        <v/>
      </c>
      <c r="E8" s="9">
        <f>'3STMT_DEBT'!E34</f>
        <v/>
      </c>
      <c r="F8" s="9">
        <f>'3STMT_DEBT'!F34</f>
        <v/>
      </c>
      <c r="G8" s="9">
        <f>'3STMT_DEBT'!G34</f>
        <v/>
      </c>
      <c r="H8" s="9">
        <f>'3STMT_DEBT'!H34</f>
        <v/>
      </c>
      <c r="I8" s="9">
        <f>'3STMT_DEBT'!I34</f>
        <v/>
      </c>
      <c r="J8" s="9">
        <f>'3STMT_DEBT'!J34</f>
        <v/>
      </c>
      <c r="K8" s="9">
        <f>'3STMT_DEBT'!K34</f>
        <v/>
      </c>
    </row>
    <row r="9" ht="15" customHeight="1" s="5">
      <c r="A9" s="4" t="inlineStr">
        <is>
          <t xml:space="preserve">  Cash from Operations</t>
        </is>
      </c>
      <c r="B9" s="9">
        <f>'3STMT_CF'!B14</f>
        <v/>
      </c>
      <c r="C9" s="9">
        <f>'3STMT_CF'!C14</f>
        <v/>
      </c>
      <c r="D9" s="9">
        <f>'3STMT_CF'!D14</f>
        <v/>
      </c>
      <c r="E9" s="9">
        <f>'3STMT_CF'!E14</f>
        <v/>
      </c>
      <c r="F9" s="9">
        <f>'3STMT_CF'!F14</f>
        <v/>
      </c>
      <c r="G9" s="9">
        <f>'3STMT_CF'!G14</f>
        <v/>
      </c>
      <c r="H9" s="9">
        <f>'3STMT_CF'!H14</f>
        <v/>
      </c>
      <c r="I9" s="9">
        <f>'3STMT_CF'!I14</f>
        <v/>
      </c>
      <c r="J9" s="9">
        <f>'3STMT_CF'!J14</f>
        <v/>
      </c>
      <c r="K9" s="9">
        <f>'3STMT_CF'!K14</f>
        <v/>
      </c>
    </row>
    <row r="11" ht="15" customHeight="1" s="5">
      <c r="A11" s="4" t="inlineStr">
        <is>
          <t>RATIOS &amp; TESTS</t>
        </is>
      </c>
    </row>
    <row r="12" ht="15" customHeight="1" s="5">
      <c r="A12" s="4" t="inlineStr">
        <is>
          <t xml:space="preserve">  Total Debt / EBITDA</t>
        </is>
      </c>
      <c r="B12" s="8">
        <f>B6/B7</f>
        <v/>
      </c>
      <c r="C12" s="8">
        <f>C6/C7</f>
        <v/>
      </c>
      <c r="D12" s="8">
        <f>D6/D7</f>
        <v/>
      </c>
      <c r="E12" s="8">
        <f>E6/E7</f>
        <v/>
      </c>
      <c r="F12" s="8">
        <f>F6/F7</f>
        <v/>
      </c>
      <c r="G12" s="8">
        <f>G6/G7</f>
        <v/>
      </c>
      <c r="H12" s="8">
        <f>H6/H7</f>
        <v/>
      </c>
      <c r="I12" s="8">
        <f>I6/I7</f>
        <v/>
      </c>
      <c r="J12" s="8">
        <f>J6/J7</f>
        <v/>
      </c>
      <c r="K12" s="8">
        <f>K6/K7</f>
        <v/>
      </c>
    </row>
    <row r="13" ht="15" customHeight="1" s="5">
      <c r="A13" s="4" t="inlineStr">
        <is>
          <t xml:space="preserve">      Covenant threshold</t>
        </is>
      </c>
      <c r="B13" s="7" t="n">
        <v>3.5</v>
      </c>
      <c r="C13" s="7" t="n">
        <v>3.5</v>
      </c>
      <c r="D13" s="7" t="n">
        <v>3.5</v>
      </c>
      <c r="E13" s="7" t="n">
        <v>3.5</v>
      </c>
      <c r="F13" s="7" t="n">
        <v>3.5</v>
      </c>
      <c r="G13" s="7" t="n">
        <v>3.5</v>
      </c>
      <c r="H13" s="7" t="n">
        <v>3.5</v>
      </c>
      <c r="I13" s="7" t="n">
        <v>3.5</v>
      </c>
      <c r="J13" s="7" t="n">
        <v>3.5</v>
      </c>
      <c r="K13" s="7" t="n">
        <v>3.5</v>
      </c>
    </row>
    <row r="14" ht="15" customHeight="1" s="5">
      <c r="A14" s="4" t="inlineStr">
        <is>
          <t xml:space="preserve">      Test: &lt;3.5x</t>
        </is>
      </c>
      <c r="B14" s="8">
        <f>IF(B12&lt;B13,"PASS","BREACH")</f>
        <v/>
      </c>
      <c r="C14" s="8">
        <f>IF(C12&lt;C13,"PASS","BREACH")</f>
        <v/>
      </c>
      <c r="D14" s="8">
        <f>IF(D12&lt;D13,"PASS","BREACH")</f>
        <v/>
      </c>
      <c r="E14" s="8">
        <f>IF(E12&lt;E13,"PASS","BREACH")</f>
        <v/>
      </c>
      <c r="F14" s="8">
        <f>IF(F12&lt;F13,"PASS","BREACH")</f>
        <v/>
      </c>
      <c r="G14" s="8">
        <f>IF(G12&lt;G13,"PASS","BREACH")</f>
        <v/>
      </c>
      <c r="H14" s="8">
        <f>IF(H12&lt;H13,"PASS","BREACH")</f>
        <v/>
      </c>
      <c r="I14" s="8">
        <f>IF(I12&lt;I13,"PASS","BREACH")</f>
        <v/>
      </c>
      <c r="J14" s="8">
        <f>IF(J12&lt;J13,"PASS","BREACH")</f>
        <v/>
      </c>
      <c r="K14" s="8">
        <f>IF(K12&lt;K13,"PASS","BREACH")</f>
        <v/>
      </c>
    </row>
    <row r="16" ht="15" customHeight="1" s="5">
      <c r="A16" s="4" t="inlineStr">
        <is>
          <t xml:space="preserve">  EBITDA / Interest Expense</t>
        </is>
      </c>
      <c r="B16" s="8">
        <f>B7/B8</f>
        <v/>
      </c>
      <c r="C16" s="8">
        <f>C7/C8</f>
        <v/>
      </c>
      <c r="D16" s="8">
        <f>D7/D8</f>
        <v/>
      </c>
      <c r="E16" s="8">
        <f>E7/E8</f>
        <v/>
      </c>
      <c r="F16" s="8">
        <f>F7/F8</f>
        <v/>
      </c>
      <c r="G16" s="8">
        <f>G7/G8</f>
        <v/>
      </c>
      <c r="H16" s="8">
        <f>H7/H8</f>
        <v/>
      </c>
      <c r="I16" s="8">
        <f>I7/I8</f>
        <v/>
      </c>
      <c r="J16" s="8">
        <f>J7/J8</f>
        <v/>
      </c>
      <c r="K16" s="8">
        <f>K7/K8</f>
        <v/>
      </c>
    </row>
    <row r="17" ht="15" customHeight="1" s="5">
      <c r="A17" s="4" t="inlineStr">
        <is>
          <t xml:space="preserve">      Covenant threshold</t>
        </is>
      </c>
      <c r="B17" s="7" t="n">
        <v>4.5</v>
      </c>
      <c r="C17" s="7" t="n">
        <v>4.5</v>
      </c>
      <c r="D17" s="7" t="n">
        <v>4.5</v>
      </c>
      <c r="E17" s="7" t="n">
        <v>4.5</v>
      </c>
      <c r="F17" s="7" t="n">
        <v>4.5</v>
      </c>
      <c r="G17" s="7" t="n">
        <v>4.5</v>
      </c>
      <c r="H17" s="7" t="n">
        <v>4.5</v>
      </c>
      <c r="I17" s="7" t="n">
        <v>4.5</v>
      </c>
      <c r="J17" s="7" t="n">
        <v>4.5</v>
      </c>
      <c r="K17" s="7" t="n">
        <v>4.5</v>
      </c>
    </row>
    <row r="18" ht="15" customHeight="1" s="5">
      <c r="A18" s="4" t="inlineStr">
        <is>
          <t xml:space="preserve">      Test: &gt;4.5x</t>
        </is>
      </c>
      <c r="B18" s="8">
        <f>IF(B16&gt;B17,"PASS","BREACH")</f>
        <v/>
      </c>
      <c r="C18" s="8">
        <f>IF(C16&gt;C17,"PASS","BREACH")</f>
        <v/>
      </c>
      <c r="D18" s="8">
        <f>IF(D16&gt;D17,"PASS","BREACH")</f>
        <v/>
      </c>
      <c r="E18" s="8">
        <f>IF(E16&gt;E17,"PASS","BREACH")</f>
        <v/>
      </c>
      <c r="F18" s="8">
        <f>IF(F16&gt;F17,"PASS","BREACH")</f>
        <v/>
      </c>
      <c r="G18" s="8">
        <f>IF(G16&gt;G17,"PASS","BREACH")</f>
        <v/>
      </c>
      <c r="H18" s="8">
        <f>IF(H16&gt;H17,"PASS","BREACH")</f>
        <v/>
      </c>
      <c r="I18" s="8">
        <f>IF(I16&gt;I17,"PASS","BREACH")</f>
        <v/>
      </c>
      <c r="J18" s="8">
        <f>IF(J16&gt;J17,"PASS","BREACH")</f>
        <v/>
      </c>
      <c r="K18" s="8">
        <f>IF(K16&gt;K17,"PASS","BREACH")</f>
        <v/>
      </c>
    </row>
    <row r="20" ht="15" customHeight="1" s="5">
      <c r="A20" s="4" t="inlineStr">
        <is>
          <t xml:space="preserve">  CFO / Total Debt</t>
        </is>
      </c>
      <c r="B20" s="8">
        <f>B9/B6</f>
        <v/>
      </c>
      <c r="C20" s="8">
        <f>C9/C6</f>
        <v/>
      </c>
      <c r="D20" s="8">
        <f>D9/D6</f>
        <v/>
      </c>
      <c r="E20" s="8">
        <f>E9/E6</f>
        <v/>
      </c>
      <c r="F20" s="8">
        <f>F9/F6</f>
        <v/>
      </c>
      <c r="G20" s="8">
        <f>G9/G6</f>
        <v/>
      </c>
      <c r="H20" s="8">
        <f>H9/H6</f>
        <v/>
      </c>
      <c r="I20" s="8">
        <f>I9/I6</f>
        <v/>
      </c>
      <c r="J20" s="8">
        <f>J9/J6</f>
        <v/>
      </c>
      <c r="K20" s="8">
        <f>K9/K6</f>
        <v/>
      </c>
    </row>
    <row r="21" ht="15" customHeight="1" s="5">
      <c r="A21" s="4" t="inlineStr">
        <is>
          <t xml:space="preserve">      Covenant threshold</t>
        </is>
      </c>
      <c r="B21" s="7" t="n">
        <v>0.2</v>
      </c>
      <c r="C21" s="7" t="n">
        <v>0.2</v>
      </c>
      <c r="D21" s="7" t="n">
        <v>0.2</v>
      </c>
      <c r="E21" s="7" t="n">
        <v>0.2</v>
      </c>
      <c r="F21" s="7" t="n">
        <v>0.2</v>
      </c>
      <c r="G21" s="7" t="n">
        <v>0.2</v>
      </c>
      <c r="H21" s="7" t="n">
        <v>0.2</v>
      </c>
      <c r="I21" s="7" t="n">
        <v>0.2</v>
      </c>
      <c r="J21" s="7" t="n">
        <v>0.2</v>
      </c>
      <c r="K21" s="7" t="n">
        <v>0.2</v>
      </c>
    </row>
    <row r="22" ht="15" customHeight="1" s="5">
      <c r="A22" s="4" t="inlineStr">
        <is>
          <t xml:space="preserve">      Test: &gt;20%</t>
        </is>
      </c>
      <c r="B22" s="8">
        <f>IF(B20&gt;B21,"PASS","BREACH")</f>
        <v/>
      </c>
      <c r="C22" s="8">
        <f>IF(C20&gt;C21,"PASS","BREACH")</f>
        <v/>
      </c>
      <c r="D22" s="8">
        <f>IF(D20&gt;D21,"PASS","BREACH")</f>
        <v/>
      </c>
      <c r="E22" s="8">
        <f>IF(E20&gt;E21,"PASS","BREACH")</f>
        <v/>
      </c>
      <c r="F22" s="8">
        <f>IF(F20&gt;F21,"PASS","BREACH")</f>
        <v/>
      </c>
      <c r="G22" s="8">
        <f>IF(G20&gt;G21,"PASS","BREACH")</f>
        <v/>
      </c>
      <c r="H22" s="8">
        <f>IF(H20&gt;H21,"PASS","BREACH")</f>
        <v/>
      </c>
      <c r="I22" s="8">
        <f>IF(I20&gt;I21,"PASS","BREACH")</f>
        <v/>
      </c>
      <c r="J22" s="8">
        <f>IF(J20&gt;J21,"PASS","BREACH")</f>
        <v/>
      </c>
      <c r="K22" s="8">
        <f>IF(K20&gt;K21,"PASS","BREACH")</f>
        <v/>
      </c>
    </row>
    <row r="24" ht="15" customHeight="1" s="5">
      <c r="A24" s="4" t="inlineStr">
        <is>
          <t>BREACH FLAG</t>
        </is>
      </c>
    </row>
    <row r="25" ht="15" customHeight="1" s="5">
      <c r="A25" s="4" t="inlineStr">
        <is>
          <t>Any covenant breached this period?</t>
        </is>
      </c>
      <c r="B25" s="8">
        <f>IF(OR(B12&gt;B13,B16&lt;B17,B20&lt;B21),"BREACH","")</f>
        <v/>
      </c>
      <c r="C25" s="8">
        <f>IF(OR(C12&gt;C13,C16&lt;C17,C20&lt;C21),"BREACH","")</f>
        <v/>
      </c>
      <c r="D25" s="8">
        <f>IF(OR(D12&gt;D13,D16&lt;D17,D20&lt;D21),"BREACH","")</f>
        <v/>
      </c>
      <c r="E25" s="8">
        <f>IF(OR(E12&gt;E13,E16&lt;E17,E20&lt;E21),"BREACH","")</f>
        <v/>
      </c>
      <c r="F25" s="8">
        <f>IF(OR(F12&gt;F13,F16&lt;F17,F20&lt;F21),"BREACH","")</f>
        <v/>
      </c>
      <c r="G25" s="8">
        <f>IF(OR(G12&gt;G13,G16&lt;G17,G20&lt;G21),"BREACH","")</f>
        <v/>
      </c>
      <c r="H25" s="8">
        <f>IF(OR(H12&gt;H13,H16&lt;H17,H20&lt;H21),"BREACH","")</f>
        <v/>
      </c>
      <c r="I25" s="8">
        <f>IF(OR(I12&gt;I13,I16&lt;I17,I20&lt;I21),"BREACH","")</f>
        <v/>
      </c>
      <c r="J25" s="8">
        <f>IF(OR(J12&gt;J13,J16&lt;J17,J20&lt;J21),"BREACH","")</f>
        <v/>
      </c>
      <c r="K25" s="8">
        <f>IF(OR(K12&gt;K13,K16&lt;K17,K20&lt;K21),"BREACH","")</f>
        <v/>
      </c>
    </row>
    <row r="26" ht="15" customHeight="1" s="5">
      <c r="A26" s="4" t="inlineStr">
        <is>
          <t xml:space="preserve">  Danaher is investment-grade (Baa1/A-); all tests expected to pass</t>
        </is>
      </c>
    </row>
  </sheetData>
  <mergeCells count="1">
    <mergeCell ref="A1:K1"/>
  </mergeCells>
  <printOptions horizontalCentered="1" verticalCentered="0" headings="0" gridLines="0" gridLinesSet="1"/>
  <pageMargins left="0.5" right="0.5" top="0.5" bottom="0.5" header="0.3" footer="0.3"/>
  <pageSetup orientation="landscape" paperSize="1" scale="100" fitToHeight="0" fitToWidth="1" pageOrder="downThenOver" blackAndWhite="0" draft="0" horizontalDpi="300" verticalDpi="300" copies="1"/>
  <headerFooter differentOddEven="0" differentFirst="0">
    <oddHeader>&amp;L&amp;8 &amp;K3C3F453STMT_COVENANTS&amp;C&amp;K0d27473STMT_COVENANTS&amp;R&amp;8 &amp;KC89000BARATELLI INSTITUTE  *  MENTORING AT SCALE</oddHeader>
    <oddFooter>&amp;L&amp;8 &amp;K3C3F45baratelliinstitute.com&amp;C&amp;8 &amp;K3C3F45Page &amp;P of &amp;N&amp;R&amp;8 &amp;K3C3F45Danaher Compounder 2026</oddFooter>
    <evenHeader/>
    <evenFooter/>
    <firstHeader/>
    <firstFooter/>
  </headerFooter>
</worksheet>
</file>

<file path=xl/worksheets/sheet4.xml><?xml version="1.0" encoding="utf-8"?>
<worksheet xmlns="http://schemas.openxmlformats.org/spreadsheetml/2006/main">
  <sheetPr filterMode="0">
    <tabColor rgb="FFC89000"/>
    <outlinePr summaryBelow="1" summaryRight="1"/>
    <pageSetUpPr fitToPage="1"/>
  </sheetPr>
  <dimension ref="A1:E36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A1" activeCellId="0" sqref="A1"/>
    </sheetView>
  </sheetViews>
  <sheetFormatPr baseColWidth="8" defaultColWidth="8.6796875" defaultRowHeight="15" customHeight="0" zeroHeight="0" outlineLevelRow="0"/>
  <cols>
    <col width="34" customWidth="1" style="4" min="1" max="1"/>
    <col width="36" customWidth="1" style="4" min="2" max="2"/>
    <col width="40" customWidth="1" style="4" min="3" max="3"/>
    <col width="13" customWidth="1" style="4" min="4" max="4"/>
    <col width="30" customWidth="1" style="4" min="5" max="5"/>
  </cols>
  <sheetData>
    <row r="1" ht="21.75" customFormat="1" customHeight="1" s="4">
      <c r="A1" s="4" t="inlineStr">
        <is>
          <t>BARATELLI INSTITUTE  ·  MENTORING AT SCALE  ·  DANAHER COMPOUNDER CASE MODEL  ·  JULY 6, 2026</t>
        </is>
      </c>
    </row>
    <row r="2" ht="13.5" customFormat="1" customHeight="1" s="4">
      <c r="A2" s="6" t="inlineStr">
        <is>
          <t>TOP OF WORKBOOK  ·  BACK TO INDEX</t>
        </is>
      </c>
    </row>
    <row r="3" ht="21.75" customFormat="1" customHeight="1" s="4">
      <c r="A3" s="4" t="inlineStr">
        <is>
          <t>ASSUMPTIONS — KEY INPUTS</t>
        </is>
      </c>
    </row>
    <row r="4" ht="25.5" customFormat="1" customHeight="1" s="4">
      <c r="A4" s="4" t="inlineStr">
        <is>
          <t>Yellow-shaded cells (col D) are practitioner inputs. Values reference memo tables at July 6, 2026.</t>
        </is>
      </c>
    </row>
    <row r="5" ht="15.75" customFormat="1" customHeight="1" s="4">
      <c r="B5" s="4" t="inlineStr">
        <is>
          <t>MARKET AND STRUCTURE</t>
        </is>
      </c>
    </row>
    <row r="6" ht="21.75" customFormat="1" customHeight="1" s="4">
      <c r="B6" s="4" t="inlineStr">
        <is>
          <t>Input</t>
        </is>
      </c>
      <c r="C6" s="4" t="inlineStr">
        <is>
          <t>Description</t>
        </is>
      </c>
      <c r="D6" s="4" t="inlineStr">
        <is>
          <t>Value</t>
        </is>
      </c>
      <c r="E6" s="4" t="inlineStr">
        <is>
          <t>Source / note</t>
        </is>
      </c>
    </row>
    <row r="7" ht="15" customFormat="1" customHeight="1" s="4">
      <c r="B7" s="4" t="inlineStr">
        <is>
          <t>DHR memo-date share price ($)</t>
        </is>
      </c>
      <c r="C7" s="4" t="inlineStr">
        <is>
          <t>NYSE:DHR illustrative July 2026</t>
        </is>
      </c>
      <c r="D7" s="7" t="n">
        <v>245</v>
      </c>
      <c r="E7" s="4" t="inlineStr">
        <is>
          <t>Memo Section 8</t>
        </is>
      </c>
    </row>
    <row r="8" ht="15" customFormat="1" customHeight="1" s="4">
      <c r="B8" s="4" t="inlineStr">
        <is>
          <t>Diluted shares outstanding (M)</t>
        </is>
      </c>
      <c r="C8" s="4" t="inlineStr">
        <is>
          <t>Post-Veralto share count</t>
        </is>
      </c>
      <c r="D8" s="7" t="n">
        <v>735</v>
      </c>
      <c r="E8" s="4" t="inlineStr">
        <is>
          <t>Memo Section 8</t>
        </is>
      </c>
    </row>
    <row r="9" ht="15" customFormat="1" customHeight="1" s="4">
      <c r="B9" s="4" t="inlineStr">
        <is>
          <t>Net debt ($B)</t>
        </is>
      </c>
      <c r="C9" s="4" t="inlineStr">
        <is>
          <t>Q2 2026 balance sheet</t>
        </is>
      </c>
      <c r="D9" s="7" t="n">
        <v>13.7</v>
      </c>
      <c r="E9" s="4" t="inlineStr">
        <is>
          <t>Memo Table 7b</t>
        </is>
      </c>
    </row>
    <row r="10" ht="15" customFormat="1" customHeight="1" s="4">
      <c r="B10" s="4" t="inlineStr">
        <is>
          <t>Market cap ($B)</t>
        </is>
      </c>
      <c r="C10" s="4" t="inlineStr">
        <is>
          <t xml:space="preserve"> =share px x diluted shares</t>
        </is>
      </c>
      <c r="D10" s="7" t="n">
        <v>180.1</v>
      </c>
      <c r="E10" s="4" t="inlineStr">
        <is>
          <t>Computed</t>
        </is>
      </c>
    </row>
    <row r="11" ht="15" customFormat="1" customHeight="1" s="4">
      <c r="B11" s="4" t="inlineStr">
        <is>
          <t>Enterprise value ($B)</t>
        </is>
      </c>
      <c r="C11" s="4" t="inlineStr">
        <is>
          <t xml:space="preserve"> =mkt cap + net debt</t>
        </is>
      </c>
      <c r="D11" s="7" t="n">
        <v>193.8</v>
      </c>
      <c r="E11" s="4" t="inlineStr">
        <is>
          <t>Computed</t>
        </is>
      </c>
    </row>
    <row r="12" ht="15" customFormat="1" customHeight="1" s="4"/>
    <row r="13" ht="15.75" customFormat="1" customHeight="1" s="4">
      <c r="B13" s="4" t="inlineStr">
        <is>
          <t>DCF INPUTS</t>
        </is>
      </c>
    </row>
    <row r="14" ht="21.75" customFormat="1" customHeight="1" s="4">
      <c r="B14" s="4" t="inlineStr">
        <is>
          <t>Input</t>
        </is>
      </c>
      <c r="C14" s="4" t="inlineStr">
        <is>
          <t>Description</t>
        </is>
      </c>
      <c r="D14" s="4" t="inlineStr">
        <is>
          <t>Value</t>
        </is>
      </c>
      <c r="E14" s="4" t="inlineStr">
        <is>
          <t>Source / note</t>
        </is>
      </c>
    </row>
    <row r="15" ht="15" customFormat="1" customHeight="1" s="4">
      <c r="B15" s="4" t="inlineStr">
        <is>
          <t>Risk-free rate</t>
        </is>
      </c>
      <c r="C15" s="4" t="inlineStr">
        <is>
          <t>10-year Treasury July 2026</t>
        </is>
      </c>
      <c r="D15" s="7" t="n">
        <v>0.0425</v>
      </c>
      <c r="E15" s="4" t="inlineStr">
        <is>
          <t>Memo Section 8</t>
        </is>
      </c>
    </row>
    <row r="16" ht="15" customFormat="1" customHeight="1" s="4">
      <c r="B16" s="4" t="inlineStr">
        <is>
          <t>Equity risk premium</t>
        </is>
      </c>
      <c r="C16" s="4" t="inlineStr">
        <is>
          <t>Practitioner mid-cycle</t>
        </is>
      </c>
      <c r="D16" s="7" t="n">
        <v>0.055</v>
      </c>
      <c r="E16" s="4" t="inlineStr">
        <is>
          <t>Institute rate</t>
        </is>
      </c>
    </row>
    <row r="17" ht="15" customFormat="1" customHeight="1" s="4">
      <c r="B17" s="4" t="inlineStr">
        <is>
          <t>Beta</t>
        </is>
      </c>
      <c r="C17" s="4" t="inlineStr">
        <is>
          <t>Diversified life-sciences platform</t>
        </is>
      </c>
      <c r="D17" s="7" t="n">
        <v>1</v>
      </c>
      <c r="E17" s="4" t="inlineStr">
        <is>
          <t>Institute rate</t>
        </is>
      </c>
    </row>
    <row r="18" ht="15" customFormat="1" customHeight="1" s="4">
      <c r="B18" s="4" t="inlineStr">
        <is>
          <t>WACC base case</t>
        </is>
      </c>
      <c r="C18" s="4" t="inlineStr">
        <is>
          <t xml:space="preserve"> =rf + beta * erp</t>
        </is>
      </c>
      <c r="D18" s="7" t="n">
        <v>0.09</v>
      </c>
      <c r="E18" s="4" t="inlineStr">
        <is>
          <t>Computed</t>
        </is>
      </c>
    </row>
    <row r="19" ht="15" customFormat="1" customHeight="1" s="4">
      <c r="B19" s="4" t="inlineStr">
        <is>
          <t>Terminal growth</t>
        </is>
      </c>
      <c r="C19" s="4" t="inlineStr">
        <is>
          <t>Base case</t>
        </is>
      </c>
      <c r="D19" s="7" t="n">
        <v>0.025</v>
      </c>
      <c r="E19" s="4" t="inlineStr">
        <is>
          <t>Institute rate</t>
        </is>
      </c>
    </row>
    <row r="20" ht="15" customFormat="1" customHeight="1" s="4"/>
    <row r="21" ht="15.75" customFormat="1" customHeight="1" s="4">
      <c r="B21" s="4" t="inlineStr">
        <is>
          <t>SEGMENT GROWTH AND MARGIN</t>
        </is>
      </c>
    </row>
    <row r="22" ht="21.75" customFormat="1" customHeight="1" s="4">
      <c r="B22" s="4" t="inlineStr">
        <is>
          <t>Input</t>
        </is>
      </c>
      <c r="C22" s="4" t="inlineStr">
        <is>
          <t>Description</t>
        </is>
      </c>
      <c r="D22" s="4" t="inlineStr">
        <is>
          <t>Value</t>
        </is>
      </c>
      <c r="E22" s="4" t="inlineStr">
        <is>
          <t>Source / note</t>
        </is>
      </c>
    </row>
    <row r="23" ht="15" customFormat="1" customHeight="1" s="4">
      <c r="B23" s="4" t="inlineStr">
        <is>
          <t>Life Sciences organic growth</t>
        </is>
      </c>
      <c r="C23" s="4" t="inlineStr">
        <is>
          <t>FY2026E through-cycle</t>
        </is>
      </c>
      <c r="D23" s="7" t="n">
        <v>0.04</v>
      </c>
      <c r="E23" s="4" t="inlineStr">
        <is>
          <t>Memo Section 6</t>
        </is>
      </c>
    </row>
    <row r="24" ht="15" customFormat="1" customHeight="1" s="4">
      <c r="B24" s="4" t="inlineStr">
        <is>
          <t>Diagnostics organic growth</t>
        </is>
      </c>
      <c r="C24" s="4" t="inlineStr">
        <is>
          <t>FY2026E through-cycle</t>
        </is>
      </c>
      <c r="D24" s="7" t="n">
        <v>0.05</v>
      </c>
      <c r="E24" s="4" t="inlineStr">
        <is>
          <t>Memo Section 6</t>
        </is>
      </c>
    </row>
    <row r="25" ht="15" customFormat="1" customHeight="1" s="4">
      <c r="B25" s="4" t="inlineStr">
        <is>
          <t>Biotech organic growth</t>
        </is>
      </c>
      <c r="C25" s="4" t="inlineStr">
        <is>
          <t>Recovery scenario</t>
        </is>
      </c>
      <c r="D25" s="7" t="n">
        <v>0.07000000000000001</v>
      </c>
      <c r="E25" s="4" t="inlineStr">
        <is>
          <t>Memo Section 6</t>
        </is>
      </c>
    </row>
    <row r="26" ht="15" customFormat="1" customHeight="1" s="4">
      <c r="B26" s="4" t="inlineStr">
        <is>
          <t>Life Sciences EBITDA margin</t>
        </is>
      </c>
      <c r="C26" s="4" t="inlineStr">
        <is>
          <t>FY2025 baseline</t>
        </is>
      </c>
      <c r="D26" s="7" t="n">
        <v>0.31</v>
      </c>
      <c r="E26" s="4" t="inlineStr">
        <is>
          <t>Memo Table 6a</t>
        </is>
      </c>
    </row>
    <row r="27" ht="15" customFormat="1" customHeight="1" s="4">
      <c r="B27" s="4" t="inlineStr">
        <is>
          <t>Diagnostics EBITDA margin</t>
        </is>
      </c>
      <c r="C27" s="4" t="inlineStr">
        <is>
          <t>FY2025 baseline</t>
        </is>
      </c>
      <c r="D27" s="7" t="n">
        <v>0.33</v>
      </c>
      <c r="E27" s="4" t="inlineStr">
        <is>
          <t>Memo Table 6a</t>
        </is>
      </c>
    </row>
    <row r="28" ht="15" customFormat="1" customHeight="1" s="4">
      <c r="B28" s="4" t="inlineStr">
        <is>
          <t>Biotech EBITDA margin</t>
        </is>
      </c>
      <c r="C28" s="4" t="inlineStr">
        <is>
          <t>FY2025 baseline</t>
        </is>
      </c>
      <c r="D28" s="7" t="n">
        <v>0.27</v>
      </c>
      <c r="E28" s="4" t="inlineStr">
        <is>
          <t>Memo Table 6a</t>
        </is>
      </c>
    </row>
    <row r="29" ht="15" customFormat="1" customHeight="1" s="4"/>
    <row r="30" ht="15.75" customFormat="1" customHeight="1" s="4">
      <c r="B30" s="4" t="inlineStr">
        <is>
          <t>PEER MULTIPLES AND SOTP</t>
        </is>
      </c>
    </row>
    <row r="31" ht="21.75" customFormat="1" customHeight="1" s="4">
      <c r="B31" s="4" t="inlineStr">
        <is>
          <t>Input</t>
        </is>
      </c>
      <c r="C31" s="4" t="inlineStr">
        <is>
          <t>Description</t>
        </is>
      </c>
      <c r="D31" s="4" t="inlineStr">
        <is>
          <t>Value</t>
        </is>
      </c>
      <c r="E31" s="4" t="inlineStr">
        <is>
          <t>Source / note</t>
        </is>
      </c>
    </row>
    <row r="32" ht="15" customFormat="1" customHeight="1" s="4">
      <c r="B32" s="4" t="inlineStr">
        <is>
          <t>Peer median EV/EBITDA (fwd)</t>
        </is>
      </c>
      <c r="C32" s="4" t="inlineStr">
        <is>
          <t>TMO/A/WAT/MTD/TECH/DIM/RVTY/BRKR median</t>
        </is>
      </c>
      <c r="D32" s="7" t="n">
        <v>19</v>
      </c>
      <c r="E32" s="4" t="inlineStr">
        <is>
          <t>Memo Table 8b</t>
        </is>
      </c>
    </row>
    <row r="33" ht="15" customFormat="1" customHeight="1" s="4">
      <c r="B33" s="4" t="inlineStr">
        <is>
          <t>DBS-premium turns (aggregate)</t>
        </is>
      </c>
      <c r="C33" s="4" t="inlineStr">
        <is>
          <t>vs. non-DBS peer benchmark</t>
        </is>
      </c>
      <c r="D33" s="7" t="n">
        <v>7</v>
      </c>
      <c r="E33" s="4" t="inlineStr">
        <is>
          <t>Memo Table 9b</t>
        </is>
      </c>
    </row>
    <row r="34" ht="15" customFormat="1" customHeight="1" s="4">
      <c r="B34" s="4" t="inlineStr">
        <is>
          <t>Fortive market cap ($B)</t>
        </is>
      </c>
      <c r="C34" s="4" t="inlineStr">
        <is>
          <t>July 2026</t>
        </is>
      </c>
      <c r="D34" s="7" t="n">
        <v>30</v>
      </c>
      <c r="E34" s="4" t="inlineStr">
        <is>
          <t>Table 1b + 9a</t>
        </is>
      </c>
    </row>
    <row r="35" ht="15" customFormat="1" customHeight="1" s="4">
      <c r="B35" s="4" t="inlineStr">
        <is>
          <t>Envista market cap ($B)</t>
        </is>
      </c>
      <c r="C35" s="4" t="inlineStr">
        <is>
          <t>July 2026</t>
        </is>
      </c>
      <c r="D35" s="7" t="n">
        <v>4</v>
      </c>
      <c r="E35" s="4" t="inlineStr">
        <is>
          <t>Table 1b + 9a</t>
        </is>
      </c>
    </row>
    <row r="36" ht="15" customFormat="1" customHeight="1" s="4">
      <c r="B36" s="4" t="inlineStr">
        <is>
          <t>Veralto market cap ($B)</t>
        </is>
      </c>
      <c r="C36" s="4" t="inlineStr">
        <is>
          <t>July 2026</t>
        </is>
      </c>
      <c r="D36" s="7" t="n">
        <v>22</v>
      </c>
      <c r="E36" s="4" t="inlineStr">
        <is>
          <t>Table 1b + 9a</t>
        </is>
      </c>
    </row>
  </sheetData>
  <mergeCells count="7">
    <mergeCell ref="A4:E4"/>
    <mergeCell ref="B13:E13"/>
    <mergeCell ref="B30:E30"/>
    <mergeCell ref="B21:E21"/>
    <mergeCell ref="A1:E1"/>
    <mergeCell ref="B5:E5"/>
    <mergeCell ref="A3:E3"/>
  </mergeCells>
  <hyperlinks>
    <hyperlink xmlns:r="http://schemas.openxmlformats.org/officeDocument/2006/relationships" ref="A2" location="INDEX!A1" display="TOP OF WORKBOOK  ·  BACK TO INDEX" r:id="rId1"/>
  </hyperlinks>
  <printOptions horizontalCentered="1" verticalCentered="0" headings="0" gridLines="0" gridLinesSet="1"/>
  <pageMargins left="0.5" right="0.5" top="0.5" bottom="0.5" header="0.3" footer="0.3"/>
  <pageSetup orientation="landscape" paperSize="1" scale="100" fitToHeight="0" fitToWidth="1" pageOrder="downThenOver" blackAndWhite="0" draft="0" horizontalDpi="300" verticalDpi="300" copies="1"/>
  <headerFooter differentOddEven="0" differentFirst="0">
    <oddHeader>&amp;L&amp;8 &amp;K3C3F45ASSUMPTIONS&amp;C&amp;9 &amp;K0d2747ASSUMPTIONS&amp;R&amp;8 &amp;KC89000BARATELLI INSTITUTE  *  MENTORING AT SCALE</oddHeader>
    <oddFooter>&amp;L&amp;8 &amp;K3C3F45baratelliinstitute.com&amp;C&amp;8 &amp;K3C3F45Page &amp;P of &amp;N&amp;R&amp;8 &amp;K3C3F45Danaher Compounder 2026</oddFooter>
    <evenHeader/>
    <evenFooter/>
    <firstHeader/>
    <firstFooter/>
  </headerFooter>
  <drawing xmlns:r="http://schemas.openxmlformats.org/officeDocument/2006/relationships" r:id="rId2"/>
</worksheet>
</file>

<file path=xl/worksheets/sheet5.xml><?xml version="1.0" encoding="utf-8"?>
<worksheet xmlns="http://schemas.openxmlformats.org/spreadsheetml/2006/main">
  <sheetPr filterMode="0">
    <tabColor rgb="FFC89000"/>
    <outlinePr summaryBelow="1" summaryRight="1"/>
    <pageSetUpPr fitToPage="1"/>
  </sheetPr>
  <dimension ref="A1:I27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A1" activeCellId="0" sqref="A1"/>
    </sheetView>
  </sheetViews>
  <sheetFormatPr baseColWidth="8" defaultColWidth="8.6796875" defaultRowHeight="15" customHeight="0" zeroHeight="0" outlineLevelRow="0"/>
  <cols>
    <col width="34" customWidth="1" style="4" min="1" max="2"/>
    <col width="13" customWidth="1" style="4" min="3" max="8"/>
    <col width="22" customWidth="1" style="4" min="9" max="9"/>
  </cols>
  <sheetData>
    <row r="1" ht="21.75" customFormat="1" customHeight="1" s="4">
      <c r="A1" s="4" t="inlineStr">
        <is>
          <t>BARATELLI INSTITUTE  ·  MENTORING AT SCALE  ·  DANAHER COMPOUNDER CASE MODEL  ·  JULY 6, 2026</t>
        </is>
      </c>
    </row>
    <row r="2" ht="13.5" customFormat="1" customHeight="1" s="4">
      <c r="A2" s="6" t="inlineStr">
        <is>
          <t>TOP OF WORKBOOK  ·  BACK TO INDEX</t>
        </is>
      </c>
    </row>
    <row r="3" ht="21.75" customFormat="1" customHeight="1" s="4">
      <c r="A3" s="4" t="inlineStr">
        <is>
          <t>DANAHER STANDALONE — FINANCIAL HISTORY</t>
        </is>
      </c>
    </row>
    <row r="4" ht="25.5" customFormat="1" customHeight="1" s="4">
      <c r="A4" s="4" t="inlineStr">
        <is>
          <t>Table 7a — FY2022 through Q2 2026 revenue, EBITDA, EPS, free cash flow. Illustrative FY2025-approx.</t>
        </is>
      </c>
    </row>
    <row r="5" ht="21.75" customFormat="1" customHeight="1" s="4">
      <c r="B5" s="4" t="inlineStr">
        <is>
          <t>Metric</t>
        </is>
      </c>
      <c r="C5" s="4" t="inlineStr">
        <is>
          <t>FY2022</t>
        </is>
      </c>
      <c r="D5" s="4" t="inlineStr">
        <is>
          <t>FY2023</t>
        </is>
      </c>
      <c r="E5" s="4" t="inlineStr">
        <is>
          <t>FY2024</t>
        </is>
      </c>
      <c r="F5" s="4" t="inlineStr">
        <is>
          <t>FY2025</t>
        </is>
      </c>
      <c r="G5" s="4" t="inlineStr">
        <is>
          <t>Q1 2026</t>
        </is>
      </c>
      <c r="H5" s="4" t="inlineStr">
        <is>
          <t>Q2 2026</t>
        </is>
      </c>
      <c r="I5" s="4" t="inlineStr">
        <is>
          <t>Note</t>
        </is>
      </c>
    </row>
    <row r="6" ht="15" customFormat="1" customHeight="1" s="4">
      <c r="B6" s="4" t="inlineStr">
        <is>
          <t>Revenue ($B)</t>
        </is>
      </c>
      <c r="C6" s="7" t="n">
        <v>31.5</v>
      </c>
      <c r="D6" s="7" t="n">
        <v>23.9</v>
      </c>
      <c r="E6" s="7" t="n">
        <v>23.5</v>
      </c>
      <c r="F6" s="7" t="n">
        <v>24</v>
      </c>
      <c r="G6" s="7" t="n">
        <v>5.9</v>
      </c>
      <c r="H6" s="7" t="n">
        <v>6.1</v>
      </c>
      <c r="I6" s="4" t="inlineStr">
        <is>
          <t>Post-Veralto FY23+</t>
        </is>
      </c>
    </row>
    <row r="7" ht="15" customFormat="1" customHeight="1" s="4">
      <c r="B7" s="4" t="inlineStr">
        <is>
          <t>Organic growth %</t>
        </is>
      </c>
      <c r="C7" s="7" t="n">
        <v>0.07000000000000001</v>
      </c>
      <c r="D7" s="7" t="n">
        <v>-0.08</v>
      </c>
      <c r="E7" s="7" t="n">
        <v>-0.02</v>
      </c>
      <c r="F7" s="7" t="n">
        <v>0.03</v>
      </c>
      <c r="G7" s="7" t="n">
        <v>0.04</v>
      </c>
      <c r="H7" s="7" t="n">
        <v>0.05</v>
      </c>
      <c r="I7" s="4" t="inlineStr">
        <is>
          <t>Biotech cycle</t>
        </is>
      </c>
    </row>
    <row r="8" ht="15" customFormat="1" customHeight="1" s="4">
      <c r="B8" s="4" t="inlineStr">
        <is>
          <t>Adjusted EBITDA ($B)</t>
        </is>
      </c>
      <c r="C8" s="7" t="n">
        <v>10.5</v>
      </c>
      <c r="D8" s="7" t="n">
        <v>7.5</v>
      </c>
      <c r="E8" s="7" t="n">
        <v>6.9</v>
      </c>
      <c r="F8" s="7" t="n">
        <v>7.1</v>
      </c>
      <c r="G8" s="7" t="n">
        <v>1.75</v>
      </c>
      <c r="H8" s="7" t="n">
        <v>1.85</v>
      </c>
      <c r="I8" s="4" t="inlineStr">
        <is>
          <t>Consolidated</t>
        </is>
      </c>
    </row>
    <row r="9" ht="15" customFormat="1" customHeight="1" s="4">
      <c r="B9" s="4" t="inlineStr">
        <is>
          <t>Adj EBITDA margin %</t>
        </is>
      </c>
      <c r="C9" s="7" t="n">
        <v>0.333</v>
      </c>
      <c r="D9" s="7" t="n">
        <v>0.314</v>
      </c>
      <c r="E9" s="7" t="n">
        <v>0.294</v>
      </c>
      <c r="F9" s="7" t="n">
        <v>0.296</v>
      </c>
      <c r="G9" s="7" t="n">
        <v>0.297</v>
      </c>
      <c r="H9" s="7" t="n">
        <v>0.303</v>
      </c>
      <c r="I9" s="4" t="inlineStr">
        <is>
          <t>Recovering</t>
        </is>
      </c>
    </row>
    <row r="10" ht="15" customFormat="1" customHeight="1" s="4">
      <c r="B10" s="4" t="inlineStr">
        <is>
          <t>Operating income ($B)</t>
        </is>
      </c>
      <c r="C10" s="7" t="n">
        <v>9</v>
      </c>
      <c r="D10" s="7" t="n">
        <v>6.2</v>
      </c>
      <c r="E10" s="7" t="n">
        <v>5.5</v>
      </c>
      <c r="F10" s="7" t="n">
        <v>5.7</v>
      </c>
      <c r="G10" s="7" t="n">
        <v>1.42</v>
      </c>
      <c r="H10" s="7" t="n">
        <v>1.5</v>
      </c>
      <c r="I10" s="4" t="inlineStr">
        <is>
          <t>Adjusted</t>
        </is>
      </c>
    </row>
    <row r="11" ht="15" customFormat="1" customHeight="1" s="4">
      <c r="B11" s="4" t="inlineStr">
        <is>
          <t>Adjusted EPS ($)</t>
        </is>
      </c>
      <c r="C11" s="7" t="n">
        <v>10.24</v>
      </c>
      <c r="D11" s="7" t="n">
        <v>7.58</v>
      </c>
      <c r="E11" s="7" t="n">
        <v>7.05</v>
      </c>
      <c r="F11" s="7" t="n">
        <v>7.35</v>
      </c>
      <c r="G11" s="7" t="n">
        <v>1.85</v>
      </c>
      <c r="H11" s="7" t="n">
        <v>1.95</v>
      </c>
      <c r="I11" s="4" t="inlineStr">
        <is>
          <t>Per share</t>
        </is>
      </c>
    </row>
    <row r="12" ht="15" customFormat="1" customHeight="1" s="4">
      <c r="B12" s="4" t="inlineStr">
        <is>
          <t>Free cash flow ($B)</t>
        </is>
      </c>
      <c r="C12" s="7" t="n">
        <v>7.5</v>
      </c>
      <c r="D12" s="7" t="n">
        <v>5.4</v>
      </c>
      <c r="E12" s="7" t="n">
        <v>4.9</v>
      </c>
      <c r="F12" s="7" t="n">
        <v>5.1</v>
      </c>
      <c r="G12" s="7" t="n">
        <v>1.2</v>
      </c>
      <c r="H12" s="7" t="n">
        <v>1.3</v>
      </c>
      <c r="I12" s="4" t="inlineStr">
        <is>
          <t>After capex</t>
        </is>
      </c>
    </row>
    <row r="13" ht="15" customFormat="1" customHeight="1" s="4">
      <c r="B13" s="4" t="inlineStr">
        <is>
          <t>ROIC %</t>
        </is>
      </c>
      <c r="C13" s="7" t="n">
        <v>0.15</v>
      </c>
      <c r="D13" s="7" t="n">
        <v>0.11</v>
      </c>
      <c r="E13" s="7" t="n">
        <v>0.1</v>
      </c>
      <c r="F13" s="7" t="n">
        <v>0.11</v>
      </c>
      <c r="G13" s="7" t="n">
        <v>0.11</v>
      </c>
      <c r="H13" s="7" t="n">
        <v>0.12</v>
      </c>
      <c r="I13" s="4" t="inlineStr">
        <is>
          <t>Post-Cytiva</t>
        </is>
      </c>
    </row>
    <row r="14" ht="15" customFormat="1" customHeight="1" s="4"/>
    <row r="15" ht="15.75" customFormat="1" customHeight="1" s="4">
      <c r="B15" s="4" t="inlineStr">
        <is>
          <t>STANDALONE VALUATION FRAME (memo-date, July 2026)</t>
        </is>
      </c>
    </row>
    <row r="16" ht="21.75" customFormat="1" customHeight="1" s="4">
      <c r="B16" s="4" t="inlineStr">
        <is>
          <t>Metric</t>
        </is>
      </c>
      <c r="C16" s="4" t="inlineStr">
        <is>
          <t>Value</t>
        </is>
      </c>
      <c r="I16" s="4" t="inlineStr">
        <is>
          <t>Basis</t>
        </is>
      </c>
    </row>
    <row r="17" ht="15" customFormat="1" customHeight="1" s="4">
      <c r="B17" s="4" t="inlineStr">
        <is>
          <t>Share price ($)</t>
        </is>
      </c>
      <c r="C17" s="7" t="n">
        <v>245</v>
      </c>
      <c r="I17" s="4" t="inlineStr">
        <is>
          <t>Illustrative July 2026</t>
        </is>
      </c>
    </row>
    <row r="18" ht="15" customFormat="1" customHeight="1" s="4">
      <c r="B18" s="4" t="inlineStr">
        <is>
          <t>Diluted shares (M)</t>
        </is>
      </c>
      <c r="C18" s="7" t="n">
        <v>735</v>
      </c>
      <c r="I18" s="4" t="inlineStr">
        <is>
          <t>Post-Veralto</t>
        </is>
      </c>
    </row>
    <row r="19" ht="15" customFormat="1" customHeight="1" s="4">
      <c r="B19" s="4" t="inlineStr">
        <is>
          <t>Market cap ($B)</t>
        </is>
      </c>
      <c r="C19" s="7" t="n">
        <v>180.1</v>
      </c>
      <c r="I19" s="4" t="inlineStr">
        <is>
          <t xml:space="preserve"> =px x shares</t>
        </is>
      </c>
    </row>
    <row r="20" ht="15" customFormat="1" customHeight="1" s="4">
      <c r="B20" s="4" t="inlineStr">
        <is>
          <t>Net debt ($B)</t>
        </is>
      </c>
      <c r="C20" s="7" t="n">
        <v>13.7</v>
      </c>
      <c r="I20" s="4" t="inlineStr">
        <is>
          <t>Q2 2026 balance</t>
        </is>
      </c>
    </row>
    <row r="21" ht="15" customFormat="1" customHeight="1" s="4">
      <c r="B21" s="4" t="inlineStr">
        <is>
          <t>Enterprise value ($B)</t>
        </is>
      </c>
      <c r="C21" s="7" t="n">
        <v>193.8</v>
      </c>
      <c r="I21" s="4" t="inlineStr">
        <is>
          <t xml:space="preserve"> =mkt cap + net debt</t>
        </is>
      </c>
    </row>
    <row r="22" ht="15" customFormat="1" customHeight="1" s="4">
      <c r="B22" s="4" t="inlineStr">
        <is>
          <t>FY2026E revenue ($B)</t>
        </is>
      </c>
      <c r="C22" s="7" t="n">
        <v>25.2</v>
      </c>
      <c r="I22" s="4" t="inlineStr">
        <is>
          <t>Recovery</t>
        </is>
      </c>
    </row>
    <row r="23" ht="15" customFormat="1" customHeight="1" s="4">
      <c r="B23" s="4" t="inlineStr">
        <is>
          <t>FY2026E adj EBITDA ($B)</t>
        </is>
      </c>
      <c r="C23" s="7" t="n">
        <v>8.699999999999999</v>
      </c>
      <c r="I23" s="4" t="inlineStr">
        <is>
          <t>Margin ~34-35%</t>
        </is>
      </c>
    </row>
    <row r="24" ht="15" customFormat="1" customHeight="1" s="4">
      <c r="B24" s="4" t="inlineStr">
        <is>
          <t>Fwd EV/EBITDA</t>
        </is>
      </c>
      <c r="C24" s="7" t="n">
        <v>22.3</v>
      </c>
      <c r="I24" s="4" t="inlineStr">
        <is>
          <t xml:space="preserve"> =ev / ebitda</t>
        </is>
      </c>
    </row>
    <row r="25" ht="15" customFormat="1" customHeight="1" s="4">
      <c r="B25" s="4" t="inlineStr">
        <is>
          <t>Fwd P/E</t>
        </is>
      </c>
      <c r="C25" s="7" t="n">
        <v>28.3</v>
      </c>
      <c r="I25" s="4" t="inlineStr">
        <is>
          <t>vs. $8.65 EPS</t>
        </is>
      </c>
    </row>
    <row r="26" ht="15" customFormat="1" customHeight="1" s="4">
      <c r="B26" s="4" t="inlineStr">
        <is>
          <t>EV/Sales</t>
        </is>
      </c>
      <c r="C26" s="7" t="n">
        <v>7.7</v>
      </c>
      <c r="I26" s="4" t="inlineStr">
        <is>
          <t xml:space="preserve"> =ev / rev</t>
        </is>
      </c>
    </row>
    <row r="27" ht="15" customFormat="1" customHeight="1" s="4">
      <c r="B27" s="4" t="inlineStr">
        <is>
          <t>Free cash flow yield</t>
        </is>
      </c>
      <c r="C27" s="7" t="n">
        <v>0.033</v>
      </c>
      <c r="I27" s="4" t="inlineStr">
        <is>
          <t>~$6B FCF</t>
        </is>
      </c>
    </row>
  </sheetData>
  <mergeCells count="4">
    <mergeCell ref="A1:I1"/>
    <mergeCell ref="A4:I4"/>
    <mergeCell ref="A3:I3"/>
    <mergeCell ref="B15:I15"/>
  </mergeCells>
  <hyperlinks>
    <hyperlink xmlns:r="http://schemas.openxmlformats.org/officeDocument/2006/relationships" ref="A2" location="INDEX!A1" display="TOP OF WORKBOOK  ·  BACK TO INDEX" r:id="rId1"/>
  </hyperlinks>
  <printOptions horizontalCentered="1" verticalCentered="0" headings="0" gridLines="0" gridLinesSet="1"/>
  <pageMargins left="0.5" right="0.5" top="0.5" bottom="0.5" header="0.3" footer="0.3"/>
  <pageSetup orientation="landscape" paperSize="1" scale="100" fitToHeight="0" fitToWidth="1" pageOrder="downThenOver" blackAndWhite="0" draft="0" horizontalDpi="300" verticalDpi="300" copies="1"/>
  <headerFooter differentOddEven="0" differentFirst="0">
    <oddHeader>&amp;L&amp;8 &amp;K3C3F45DHR_STANDALONE&amp;C&amp;9 &amp;K0d2747DHR_STANDALONE&amp;R&amp;8 &amp;KC89000BARATELLI INSTITUTE  *  MENTORING AT SCALE</oddHeader>
    <oddFooter>&amp;L&amp;8 &amp;K3C3F45baratelliinstitute.com&amp;C&amp;8 &amp;K3C3F45Page &amp;P of &amp;N&amp;R&amp;8 &amp;K3C3F45Danaher Compounder 2026</oddFooter>
    <evenHeader/>
    <evenFooter/>
    <firstHeader/>
    <firstFooter/>
  </headerFooter>
  <drawing xmlns:r="http://schemas.openxmlformats.org/officeDocument/2006/relationships" r:id="rId2"/>
</worksheet>
</file>

<file path=xl/worksheets/sheet6.xml><?xml version="1.0" encoding="utf-8"?>
<worksheet xmlns="http://schemas.openxmlformats.org/spreadsheetml/2006/main">
  <sheetPr filterMode="0">
    <tabColor rgb="FFC89000"/>
    <outlinePr summaryBelow="1" summaryRight="1"/>
    <pageSetUpPr fitToPage="1"/>
  </sheetPr>
  <dimension ref="A1:H17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A1" activeCellId="0" sqref="A1"/>
    </sheetView>
  </sheetViews>
  <sheetFormatPr baseColWidth="8" defaultColWidth="8.6796875" defaultRowHeight="15" customHeight="0" zeroHeight="0" outlineLevelRow="0"/>
  <cols>
    <col width="34" customWidth="1" style="4" min="1" max="1"/>
    <col width="28" customWidth="1" style="4" min="2" max="2"/>
    <col width="13" customWidth="1" style="4" min="3" max="7"/>
    <col width="30" customWidth="1" style="4" min="8" max="8"/>
  </cols>
  <sheetData>
    <row r="1" ht="21.75" customFormat="1" customHeight="1" s="4">
      <c r="A1" s="4" t="inlineStr">
        <is>
          <t>BARATELLI INSTITUTE  ·  MENTORING AT SCALE  ·  DANAHER COMPOUNDER CASE MODEL  ·  JULY 6, 2026</t>
        </is>
      </c>
    </row>
    <row r="2" ht="13.5" customFormat="1" customHeight="1" s="4">
      <c r="A2" s="6" t="inlineStr">
        <is>
          <t>TOP OF WORKBOOK  ·  BACK TO INDEX</t>
        </is>
      </c>
    </row>
    <row r="3" ht="21.75" customFormat="1" customHeight="1" s="4">
      <c r="A3" s="4" t="inlineStr">
        <is>
          <t>SEGMENT BUILD — LIFE SCI / DIAGNOSTICS / BIOTECH</t>
        </is>
      </c>
    </row>
    <row r="4" ht="25.5" customFormat="1" customHeight="1" s="4">
      <c r="A4" s="4" t="inlineStr">
        <is>
          <t>Table 6a segment revenue mix + Table 6b operating margins vs. peer group.</t>
        </is>
      </c>
    </row>
    <row r="5" ht="15.75" customFormat="1" customHeight="1" s="4">
      <c r="B5" s="4" t="inlineStr">
        <is>
          <t>TABLE 6a — FY2025 SEGMENT REVENUE AND ORGANIC GROWTH</t>
        </is>
      </c>
    </row>
    <row r="6" ht="21.75" customFormat="1" customHeight="1" s="4">
      <c r="B6" s="4" t="inlineStr">
        <is>
          <t>Segment</t>
        </is>
      </c>
      <c r="C6" s="4" t="inlineStr">
        <is>
          <t>FY2025 rev ($B)</t>
        </is>
      </c>
      <c r="D6" s="4" t="inlineStr">
        <is>
          <t>% total</t>
        </is>
      </c>
      <c r="E6" s="4" t="inlineStr">
        <is>
          <t>Organic gr %</t>
        </is>
      </c>
      <c r="F6" s="4" t="inlineStr">
        <is>
          <t>EBITDA margin %</t>
        </is>
      </c>
      <c r="G6" s="4" t="inlineStr">
        <is>
          <t>EBITDA ($B)</t>
        </is>
      </c>
      <c r="H6" s="4" t="inlineStr">
        <is>
          <t>Note</t>
        </is>
      </c>
    </row>
    <row r="7" ht="15" customFormat="1" customHeight="1" s="4">
      <c r="B7" s="4" t="inlineStr">
        <is>
          <t>Life Sciences</t>
        </is>
      </c>
      <c r="C7" s="7" t="n">
        <v>8.4</v>
      </c>
      <c r="D7" s="7" t="n">
        <v>0.35</v>
      </c>
      <c r="E7" s="7" t="n">
        <v>0.03</v>
      </c>
      <c r="F7" s="7" t="n">
        <v>0.31</v>
      </c>
      <c r="G7" s="7" t="n">
        <v>2.6</v>
      </c>
      <c r="H7" s="4" t="inlineStr">
        <is>
          <t>Beckman LS, SCIEX, Leica Micro, Molecular Dev, IDT.</t>
        </is>
      </c>
    </row>
    <row r="8" ht="15" customFormat="1" customHeight="1" s="4">
      <c r="B8" s="4" t="inlineStr">
        <is>
          <t>Diagnostics</t>
        </is>
      </c>
      <c r="C8" s="7" t="n">
        <v>9.6</v>
      </c>
      <c r="D8" s="7" t="n">
        <v>0.4</v>
      </c>
      <c r="E8" s="7" t="n">
        <v>0.05</v>
      </c>
      <c r="F8" s="7" t="n">
        <v>0.33</v>
      </c>
      <c r="G8" s="7" t="n">
        <v>3.17</v>
      </c>
      <c r="H8" s="4" t="inlineStr">
        <is>
          <t>Beckman Dx, Cepheid, Leica Biosystems, Radiometer.</t>
        </is>
      </c>
    </row>
    <row r="9" ht="15" customFormat="1" customHeight="1" s="4">
      <c r="B9" s="4" t="inlineStr">
        <is>
          <t>Biotechnology</t>
        </is>
      </c>
      <c r="C9" s="7" t="n">
        <v>6</v>
      </c>
      <c r="D9" s="7" t="n">
        <v>0.25</v>
      </c>
      <c r="E9" s="7" t="n">
        <v>0.07000000000000001</v>
      </c>
      <c r="F9" s="7" t="n">
        <v>0.27</v>
      </c>
      <c r="G9" s="7" t="n">
        <v>1.62</v>
      </c>
      <c r="H9" s="4" t="inlineStr">
        <is>
          <t>Cytiva, Aldevron, Pall Biotech, IDT therapeutics.</t>
        </is>
      </c>
    </row>
    <row r="10" ht="15" customFormat="1" customHeight="1" s="4">
      <c r="B10" s="4" t="inlineStr">
        <is>
          <t>Total Danaher</t>
        </is>
      </c>
      <c r="C10" s="7" t="n">
        <v>24</v>
      </c>
      <c r="D10" s="7" t="n">
        <v>1</v>
      </c>
      <c r="E10" s="7" t="n">
        <v>0.05</v>
      </c>
      <c r="F10" s="7" t="n">
        <v>0.307</v>
      </c>
      <c r="G10" s="7" t="n">
        <v>7.39</v>
      </c>
      <c r="H10" s="4" t="inlineStr">
        <is>
          <t>Blended; recovery scenario for 2026.</t>
        </is>
      </c>
    </row>
    <row r="11" ht="15" customFormat="1" customHeight="1" s="4"/>
    <row r="12" ht="15.75" customFormat="1" customHeight="1" s="4">
      <c r="B12" s="4" t="inlineStr">
        <is>
          <t>TABLE 6b — SEGMENT MARGINS vs. PEER GROUP</t>
        </is>
      </c>
    </row>
    <row r="13" ht="21.75" customFormat="1" customHeight="1" s="4">
      <c r="B13" s="4" t="inlineStr">
        <is>
          <t>DHR segment</t>
        </is>
      </c>
      <c r="C13" s="4" t="inlineStr">
        <is>
          <t>DHR margin</t>
        </is>
      </c>
      <c r="D13" s="4" t="inlineStr">
        <is>
          <t>Peer benchmark</t>
        </is>
      </c>
      <c r="E13" s="4" t="inlineStr">
        <is>
          <t>Peer margin</t>
        </is>
      </c>
      <c r="F13" s="4" t="inlineStr">
        <is>
          <t>DHR premium</t>
        </is>
      </c>
      <c r="H13" s="4" t="inlineStr">
        <is>
          <t>Institute read</t>
        </is>
      </c>
    </row>
    <row r="14" ht="19.5" customFormat="1" customHeight="1" s="4">
      <c r="B14" s="4" t="inlineStr">
        <is>
          <t>Life Sciences</t>
        </is>
      </c>
      <c r="C14" s="4" t="inlineStr">
        <is>
          <t>~30-32%</t>
        </is>
      </c>
      <c r="D14" s="4" t="inlineStr">
        <is>
          <t>TMO LS + Bruker + Waters</t>
        </is>
      </c>
      <c r="E14" s="4" t="inlineStr">
        <is>
          <t>~24-28%</t>
        </is>
      </c>
      <c r="F14" s="4" t="inlineStr">
        <is>
          <t>~4-6pp</t>
        </is>
      </c>
      <c r="H14" s="4" t="inlineStr">
        <is>
          <t>DBS-driven premium.</t>
        </is>
      </c>
    </row>
    <row r="15" ht="19.5" customFormat="1" customHeight="1" s="4">
      <c r="B15" s="4" t="inlineStr">
        <is>
          <t>Diagnostics</t>
        </is>
      </c>
      <c r="C15" s="4" t="inlineStr">
        <is>
          <t>~32-34%</t>
        </is>
      </c>
      <c r="D15" s="4" t="inlineStr">
        <is>
          <t>Abbott Dx + Roche Dx + Siemens Dx</t>
        </is>
      </c>
      <c r="E15" s="4" t="inlineStr">
        <is>
          <t>~26-30%</t>
        </is>
      </c>
      <c r="F15" s="4" t="inlineStr">
        <is>
          <t>~4-6pp</t>
        </is>
      </c>
      <c r="H15" s="4" t="inlineStr">
        <is>
          <t>Cepheid molecular mix.</t>
        </is>
      </c>
    </row>
    <row r="16" ht="19.5" customFormat="1" customHeight="1" s="4">
      <c r="B16" s="4" t="inlineStr">
        <is>
          <t>Biotechnology</t>
        </is>
      </c>
      <c r="C16" s="4" t="inlineStr">
        <is>
          <t>~26-28%</t>
        </is>
      </c>
      <c r="D16" s="4" t="inlineStr">
        <is>
          <t>Sartorius Stedim + Repligen</t>
        </is>
      </c>
      <c r="E16" s="4" t="inlineStr">
        <is>
          <t>~22-26%</t>
        </is>
      </c>
      <c r="F16" s="4" t="inlineStr">
        <is>
          <t>~parity</t>
        </is>
      </c>
      <c r="H16" s="4" t="inlineStr">
        <is>
          <t>Still recovering from destocking.</t>
        </is>
      </c>
    </row>
    <row r="17" ht="19.5" customFormat="1" customHeight="1" s="4">
      <c r="B17" s="4" t="inlineStr">
        <is>
          <t>Blended DHR</t>
        </is>
      </c>
      <c r="C17" s="4" t="inlineStr">
        <is>
          <t>~29-31%</t>
        </is>
      </c>
      <c r="D17" s="4" t="inlineStr">
        <is>
          <t>Peer set blend</t>
        </is>
      </c>
      <c r="E17" s="4" t="inlineStr">
        <is>
          <t>~24-27%</t>
        </is>
      </c>
      <c r="F17" s="4" t="inlineStr">
        <is>
          <t>~3-5pp</t>
        </is>
      </c>
      <c r="H17" s="4" t="inlineStr">
        <is>
          <t>DBS-driven blended premium.</t>
        </is>
      </c>
    </row>
  </sheetData>
  <mergeCells count="5">
    <mergeCell ref="A4:H4"/>
    <mergeCell ref="A3:H3"/>
    <mergeCell ref="B12:H12"/>
    <mergeCell ref="A1:H1"/>
    <mergeCell ref="B5:H5"/>
  </mergeCells>
  <hyperlinks>
    <hyperlink xmlns:r="http://schemas.openxmlformats.org/officeDocument/2006/relationships" ref="A2" location="INDEX!A1" display="TOP OF WORKBOOK  ·  BACK TO INDEX" r:id="rId1"/>
  </hyperlinks>
  <printOptions horizontalCentered="1" verticalCentered="0" headings="0" gridLines="0" gridLinesSet="1"/>
  <pageMargins left="0.5" right="0.5" top="0.5" bottom="0.5" header="0.3" footer="0.3"/>
  <pageSetup orientation="landscape" paperSize="1" scale="100" fitToHeight="0" fitToWidth="1" pageOrder="downThenOver" blackAndWhite="0" draft="0" horizontalDpi="300" verticalDpi="300" copies="1"/>
  <headerFooter differentOddEven="0" differentFirst="0">
    <oddHeader>&amp;L&amp;8 &amp;K3C3F45SEGMENT_BUILD&amp;C&amp;9 &amp;K0d2747SEGMENT_BUILD&amp;R&amp;8 &amp;KC89000BARATELLI INSTITUTE  *  MENTORING AT SCALE</oddHeader>
    <oddFooter>&amp;L&amp;8 &amp;K3C3F45baratelliinstitute.com&amp;C&amp;8 &amp;K3C3F45Page &amp;P of &amp;N&amp;R&amp;8 &amp;K3C3F45Danaher Compounder 2026</oddFooter>
    <evenHeader/>
    <evenFooter/>
    <firstHeader/>
    <firstFooter/>
  </headerFooter>
  <drawing xmlns:r="http://schemas.openxmlformats.org/officeDocument/2006/relationships" r:id="rId2"/>
</worksheet>
</file>

<file path=xl/worksheets/sheet7.xml><?xml version="1.0" encoding="utf-8"?>
<worksheet xmlns="http://schemas.openxmlformats.org/spreadsheetml/2006/main">
  <sheetPr filterMode="0">
    <tabColor rgb="FFC89000"/>
    <outlinePr summaryBelow="1" summaryRight="1"/>
    <pageSetUpPr fitToPage="1"/>
  </sheetPr>
  <dimension ref="A1:F21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A1" activeCellId="0" sqref="A1"/>
    </sheetView>
  </sheetViews>
  <sheetFormatPr baseColWidth="8" defaultColWidth="8.6796875" defaultRowHeight="15" customHeight="0" zeroHeight="0" outlineLevelRow="0"/>
  <cols>
    <col width="34" customWidth="1" style="4" min="1" max="1"/>
    <col width="14" customWidth="1" style="4" min="2" max="3"/>
    <col width="16" customWidth="1" style="4" min="4" max="4"/>
    <col width="30" customWidth="1" style="4" min="5" max="5"/>
    <col width="42" customWidth="1" style="4" min="6" max="6"/>
  </cols>
  <sheetData>
    <row r="1" ht="21.75" customFormat="1" customHeight="1" s="4">
      <c r="A1" s="4" t="inlineStr">
        <is>
          <t>BARATELLI INSTITUTE  ·  MENTORING AT SCALE  ·  DANAHER COMPOUNDER CASE MODEL  ·  JULY 6, 2026</t>
        </is>
      </c>
    </row>
    <row r="2" ht="13.5" customFormat="1" customHeight="1" s="4">
      <c r="A2" s="6" t="inlineStr">
        <is>
          <t>TOP OF WORKBOOK  ·  BACK TO INDEX</t>
        </is>
      </c>
    </row>
    <row r="3" ht="21.75" customFormat="1" customHeight="1" s="4">
      <c r="A3" s="4" t="inlineStr">
        <is>
          <t>ACQUISITION RECORD — BY DECADE + LANDMARKS</t>
        </is>
      </c>
    </row>
    <row r="4" ht="25.5" customFormat="1" customHeight="1" s="4">
      <c r="A4" s="4" t="inlineStr">
        <is>
          <t>Table 4a acquisitions by decade + Table 4b six landmark acquisitions ranked by transformative impact.</t>
        </is>
      </c>
    </row>
    <row r="5" ht="15.75" customFormat="1" customHeight="1" s="4">
      <c r="B5" s="4" t="inlineStr">
        <is>
          <t>TABLE 4a — ACQUISITIONS BY DECADE</t>
        </is>
      </c>
    </row>
    <row r="6" ht="21.75" customFormat="1" customHeight="1" s="4">
      <c r="B6" s="4" t="inlineStr">
        <is>
          <t>Decade</t>
        </is>
      </c>
      <c r="C6" s="4" t="inlineStr">
        <is>
          <t>Material deals</t>
        </is>
      </c>
      <c r="D6" s="4" t="inlineStr">
        <is>
          <t>Capital deployed</t>
        </is>
      </c>
      <c r="E6" s="4" t="inlineStr">
        <is>
          <t>Character</t>
        </is>
      </c>
      <c r="F6" s="4" t="inlineStr">
        <is>
          <t>Biggest deals of the decade</t>
        </is>
      </c>
    </row>
    <row r="7" ht="24" customFormat="1" customHeight="1" s="4">
      <c r="B7" s="4" t="inlineStr">
        <is>
          <t>1980s</t>
        </is>
      </c>
      <c r="C7" s="4" t="inlineStr">
        <is>
          <t>~30</t>
        </is>
      </c>
      <c r="D7" s="4" t="inlineStr">
        <is>
          <t>~$0.5-1B</t>
        </is>
      </c>
      <c r="E7" s="4" t="inlineStr">
        <is>
          <t>Industrial holding phase. Pre-DBS.</t>
        </is>
      </c>
      <c r="F7" s="4" t="inlineStr">
        <is>
          <t>Chicago Pneumatic 1986; Matco Tools 1986; Fluke 1988.</t>
        </is>
      </c>
    </row>
    <row r="8" ht="24" customFormat="1" customHeight="1" s="4">
      <c r="B8" s="4" t="inlineStr">
        <is>
          <t>1990s</t>
        </is>
      </c>
      <c r="C8" s="4" t="inlineStr">
        <is>
          <t>~50</t>
        </is>
      </c>
      <c r="D8" s="4" t="inlineStr">
        <is>
          <t>~$2-3B</t>
        </is>
      </c>
      <c r="E8" s="4" t="inlineStr">
        <is>
          <t>Post-DBS serial acquisition engaged.</t>
        </is>
      </c>
      <c r="F8" s="4" t="inlineStr">
        <is>
          <t>Videojet 1997; Hach 1999 ~$400M; Pacific Scientific 1998.</t>
        </is>
      </c>
    </row>
    <row r="9" ht="24" customFormat="1" customHeight="1" s="4">
      <c r="B9" s="4" t="inlineStr">
        <is>
          <t>2000s</t>
        </is>
      </c>
      <c r="C9" s="4" t="inlineStr">
        <is>
          <t>~90</t>
        </is>
      </c>
      <c r="D9" s="4" t="inlineStr">
        <is>
          <t>~$18-20B</t>
        </is>
      </c>
      <c r="E9" s="4" t="inlineStr">
        <is>
          <t>Medtech + life sciences pivot.</t>
        </is>
      </c>
      <c r="F9" s="4" t="inlineStr">
        <is>
          <t>Radiometer 2004; Leica Micro 2005; Sybron 2006; Tektronix 2007.</t>
        </is>
      </c>
    </row>
    <row r="10" ht="24" customFormat="1" customHeight="1" s="4">
      <c r="B10" s="4" t="inlineStr">
        <is>
          <t>2010s</t>
        </is>
      </c>
      <c r="C10" s="4" t="inlineStr">
        <is>
          <t>~140</t>
        </is>
      </c>
      <c r="D10" s="4" t="inlineStr">
        <is>
          <t>~$45-50B</t>
        </is>
      </c>
      <c r="E10" s="4" t="inlineStr">
        <is>
          <t>Life sciences at scale + Fortive spin 2016.</t>
        </is>
      </c>
      <c r="F10" s="4" t="inlineStr">
        <is>
          <t>Beckman 2011 $6.8B; Pall 2015 $13.8B; Cepheid 2016 $4B; IDT 2018.</t>
        </is>
      </c>
    </row>
    <row r="11" ht="24" customFormat="1" customHeight="1" s="4">
      <c r="B11" s="4" t="inlineStr">
        <is>
          <t>2020s</t>
        </is>
      </c>
      <c r="C11" s="4" t="inlineStr">
        <is>
          <t>~90</t>
        </is>
      </c>
      <c r="D11" s="4" t="inlineStr">
        <is>
          <t>~$45-50B</t>
        </is>
      </c>
      <c r="E11" s="4" t="inlineStr">
        <is>
          <t>Biotech platform. Envista 2019, Veralto 2023.</t>
        </is>
      </c>
      <c r="F11" s="4" t="inlineStr">
        <is>
          <t>Cytiva 2020 $21.4B; Aldevron 2021 $9.6B; Abcam 2023 $5.7B.</t>
        </is>
      </c>
    </row>
    <row r="12" ht="24" customFormat="1" customHeight="1" s="4">
      <c r="B12" s="4" t="inlineStr">
        <is>
          <t>1984-2026 totals</t>
        </is>
      </c>
      <c r="C12" s="4" t="inlineStr">
        <is>
          <t>~400+</t>
        </is>
      </c>
      <c r="D12" s="4" t="inlineStr">
        <is>
          <t>~$110-125B</t>
        </is>
      </c>
      <c r="E12" s="4" t="inlineStr">
        <is>
          <t>Serial acquisition, five decades.</t>
        </is>
      </c>
      <c r="F12" s="4" t="inlineStr">
        <is>
          <t>Six landmarks concentrate ~$60B of total.</t>
        </is>
      </c>
    </row>
    <row r="13" ht="15" customFormat="1" customHeight="1" s="4"/>
    <row r="14" ht="15.75" customFormat="1" customHeight="1" s="4">
      <c r="B14" s="4" t="inlineStr">
        <is>
          <t>TABLE 4b — SIX LANDMARK ACQUISITIONS</t>
        </is>
      </c>
    </row>
    <row r="15" ht="21.75" customFormat="1" customHeight="1" s="4">
      <c r="B15" s="4" t="inlineStr">
        <is>
          <t>Rank</t>
        </is>
      </c>
      <c r="C15" s="4" t="inlineStr">
        <is>
          <t>Acquisition</t>
        </is>
      </c>
      <c r="D15" s="4" t="inlineStr">
        <is>
          <t>Year</t>
        </is>
      </c>
      <c r="E15" s="4" t="inlineStr">
        <is>
          <t>Price ($B)</t>
        </is>
      </c>
      <c r="F15" s="4" t="inlineStr">
        <is>
          <t>Transformative impact</t>
        </is>
      </c>
    </row>
    <row r="16" ht="21.75" customFormat="1" customHeight="1" s="4">
      <c r="B16" s="4" t="inlineStr">
        <is>
          <t>1</t>
        </is>
      </c>
      <c r="C16" s="4" t="inlineStr">
        <is>
          <t>Cytiva</t>
        </is>
      </c>
      <c r="D16" s="4" t="inlineStr">
        <is>
          <t>2020</t>
        </is>
      </c>
      <c r="E16" s="7" t="n">
        <v>21.4</v>
      </c>
      <c r="F16" s="4" t="inlineStr">
        <is>
          <t>Transformative biotech-platform acquisition. Carve-out from GE Life Sci. DBS-at-scale test.</t>
        </is>
      </c>
    </row>
    <row r="17" ht="21.75" customFormat="1" customHeight="1" s="4">
      <c r="B17" s="4" t="inlineStr">
        <is>
          <t>2</t>
        </is>
      </c>
      <c r="C17" s="4" t="inlineStr">
        <is>
          <t>Pall Corporation</t>
        </is>
      </c>
      <c r="D17" s="4" t="inlineStr">
        <is>
          <t>2015</t>
        </is>
      </c>
      <c r="E17" s="7" t="n">
        <v>13.8</v>
      </c>
      <c r="F17" s="4" t="inlineStr">
        <is>
          <t>Life-sciences pivot at scale. Filtration + separation. Bioprocessing consumables.</t>
        </is>
      </c>
    </row>
    <row r="18" ht="21.75" customFormat="1" customHeight="1" s="4">
      <c r="B18" s="4" t="inlineStr">
        <is>
          <t>3</t>
        </is>
      </c>
      <c r="C18" s="4" t="inlineStr">
        <is>
          <t>Aldevron</t>
        </is>
      </c>
      <c r="D18" s="4" t="inlineStr">
        <is>
          <t>2021</t>
        </is>
      </c>
      <c r="E18" s="7" t="n">
        <v>9.6</v>
      </c>
      <c r="F18" s="4" t="inlineStr">
        <is>
          <t>Plasmid DNA + mRNA raw materials. Complementary to Cytiva.</t>
        </is>
      </c>
    </row>
    <row r="19" ht="21.75" customFormat="1" customHeight="1" s="4">
      <c r="B19" s="4" t="inlineStr">
        <is>
          <t>4</t>
        </is>
      </c>
      <c r="C19" s="4" t="inlineStr">
        <is>
          <t>Beckman Coulter</t>
        </is>
      </c>
      <c r="D19" s="4" t="inlineStr">
        <is>
          <t>2011</t>
        </is>
      </c>
      <c r="E19" s="7" t="n">
        <v>6.8</v>
      </c>
      <c r="F19" s="4" t="inlineStr">
        <is>
          <t>Clinical dx + LS instruments. Pre-Pall foundation. First $5B+ deal.</t>
        </is>
      </c>
    </row>
    <row r="20" ht="21.75" customFormat="1" customHeight="1" s="4">
      <c r="B20" s="4" t="inlineStr">
        <is>
          <t>5</t>
        </is>
      </c>
      <c r="C20" s="4" t="inlineStr">
        <is>
          <t>Abcam</t>
        </is>
      </c>
      <c r="D20" s="4" t="inlineStr">
        <is>
          <t>2023</t>
        </is>
      </c>
      <c r="E20" s="7" t="n">
        <v>5.7</v>
      </c>
      <c r="F20" s="4" t="inlineStr">
        <is>
          <t>Research antibodies. Extends biotech platform into tools. Recent.</t>
        </is>
      </c>
    </row>
    <row r="21" ht="21.75" customFormat="1" customHeight="1" s="4">
      <c r="B21" s="4" t="inlineStr">
        <is>
          <t>6</t>
        </is>
      </c>
      <c r="C21" s="4" t="inlineStr">
        <is>
          <t>Cepheid</t>
        </is>
      </c>
      <c r="D21" s="4" t="inlineStr">
        <is>
          <t>2016</t>
        </is>
      </c>
      <c r="E21" s="7" t="n">
        <v>4</v>
      </c>
      <c r="F21" s="4" t="inlineStr">
        <is>
          <t>Molecular dx. GeneXpert. Transformed Dx segment margin mix.</t>
        </is>
      </c>
    </row>
  </sheetData>
  <mergeCells count="5">
    <mergeCell ref="A1:F1"/>
    <mergeCell ref="B5:F5"/>
    <mergeCell ref="A4:F4"/>
    <mergeCell ref="B14:F14"/>
    <mergeCell ref="A3:F3"/>
  </mergeCells>
  <hyperlinks>
    <hyperlink xmlns:r="http://schemas.openxmlformats.org/officeDocument/2006/relationships" ref="A2" location="INDEX!A1" display="TOP OF WORKBOOK  ·  BACK TO INDEX" r:id="rId1"/>
  </hyperlinks>
  <printOptions horizontalCentered="1" verticalCentered="0" headings="0" gridLines="0" gridLinesSet="1"/>
  <pageMargins left="0.5" right="0.5" top="0.5" bottom="0.5" header="0.3" footer="0.3"/>
  <pageSetup orientation="landscape" paperSize="1" scale="100" fitToHeight="0" fitToWidth="1" pageOrder="downThenOver" blackAndWhite="0" draft="0" horizontalDpi="300" verticalDpi="300" copies="1"/>
  <headerFooter differentOddEven="0" differentFirst="0">
    <oddHeader>&amp;L&amp;8 &amp;K3C3F45ACQ_RECORD&amp;C&amp;9 &amp;K0d2747ACQ_RECORD&amp;R&amp;8 &amp;KC89000BARATELLI INSTITUTE  *  MENTORING AT SCALE</oddHeader>
    <oddFooter>&amp;L&amp;8 &amp;K3C3F45baratelliinstitute.com&amp;C&amp;8 &amp;K3C3F45Page &amp;P of &amp;N&amp;R&amp;8 &amp;K3C3F45Danaher Compounder 2026</oddFooter>
    <evenHeader/>
    <evenFooter/>
    <firstHeader/>
    <firstFooter/>
  </headerFooter>
  <drawing xmlns:r="http://schemas.openxmlformats.org/officeDocument/2006/relationships" r:id="rId2"/>
</worksheet>
</file>

<file path=xl/worksheets/sheet8.xml><?xml version="1.0" encoding="utf-8"?>
<worksheet xmlns="http://schemas.openxmlformats.org/spreadsheetml/2006/main">
  <sheetPr filterMode="0">
    <tabColor rgb="FFC89000"/>
    <outlinePr summaryBelow="1" summaryRight="1"/>
    <pageSetUpPr fitToPage="1"/>
  </sheetPr>
  <dimension ref="A1:E20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A1" activeCellId="0" sqref="A1"/>
    </sheetView>
  </sheetViews>
  <sheetFormatPr baseColWidth="8" defaultColWidth="8.6796875" defaultRowHeight="15" customHeight="0" zeroHeight="0" outlineLevelRow="0"/>
  <cols>
    <col width="34" customWidth="1" style="4" min="1" max="1"/>
    <col width="30" customWidth="1" style="4" min="2" max="2"/>
    <col width="20" customWidth="1" style="4" min="3" max="4"/>
    <col width="44" customWidth="1" style="4" min="5" max="5"/>
  </cols>
  <sheetData>
    <row r="1" ht="21.75" customFormat="1" customHeight="1" s="4">
      <c r="A1" s="4" t="inlineStr">
        <is>
          <t>BARATELLI INSTITUTE  ·  MENTORING AT SCALE  ·  DANAHER COMPOUNDER CASE MODEL  ·  JULY 6, 2026</t>
        </is>
      </c>
    </row>
    <row r="2" ht="13.5" customFormat="1" customHeight="1" s="4">
      <c r="A2" s="6" t="inlineStr">
        <is>
          <t>TOP OF WORKBOOK  ·  BACK TO INDEX</t>
        </is>
      </c>
    </row>
    <row r="3" ht="21.75" customFormat="1" customHeight="1" s="4">
      <c r="A3" s="4" t="inlineStr">
        <is>
          <t>DBS INTEGRATION METRICS</t>
        </is>
      </c>
    </row>
    <row r="4" ht="25.5" customFormat="1" customHeight="1" s="4">
      <c r="A4" s="4" t="inlineStr">
        <is>
          <t>Illustrative DBS integration success metrics — margin uplift, working capital, kaizen impact.</t>
        </is>
      </c>
    </row>
    <row r="5" ht="15.75" customFormat="1" customHeight="1" s="4">
      <c r="B5" s="4" t="inlineStr">
        <is>
          <t>DBS INTEGRATION PLAYBOOK — 100-DAY STANDARD (Table 3b)</t>
        </is>
      </c>
    </row>
    <row r="6" ht="21.75" customFormat="1" customHeight="1" s="4">
      <c r="B6" s="4" t="inlineStr">
        <is>
          <t>Milestone</t>
        </is>
      </c>
      <c r="C6" s="4" t="inlineStr">
        <is>
          <t>Actions</t>
        </is>
      </c>
      <c r="D6" s="4" t="inlineStr">
        <is>
          <t>KPI</t>
        </is>
      </c>
      <c r="E6" s="4" t="inlineStr">
        <is>
          <t>Institute note</t>
        </is>
      </c>
    </row>
    <row r="7" ht="21.75" customFormat="1" customHeight="1" s="4">
      <c r="B7" s="4" t="inlineStr">
        <is>
          <t>Day 0 (close)</t>
        </is>
      </c>
      <c r="C7" s="4" t="inlineStr">
        <is>
          <t>DBS coach team deployed</t>
        </is>
      </c>
      <c r="D7" s="4" t="inlineStr">
        <is>
          <t>Bench mobilization</t>
        </is>
      </c>
      <c r="E7" s="4" t="inlineStr">
        <is>
          <t>3-5 coaches typical; 30+ for Cytiva.</t>
        </is>
      </c>
    </row>
    <row r="8" ht="21.75" customFormat="1" customHeight="1" s="4">
      <c r="B8" s="4" t="inlineStr">
        <is>
          <t>Day 30</t>
        </is>
      </c>
      <c r="C8" s="4" t="inlineStr">
        <is>
          <t>Visual mgmt boards installed</t>
        </is>
      </c>
      <c r="D8" s="4" t="inlineStr">
        <is>
          <t>1st value stream map</t>
        </is>
      </c>
      <c r="E8" s="4" t="inlineStr">
        <is>
          <t>Physical whiteboards — the physicality matters.</t>
        </is>
      </c>
    </row>
    <row r="9" ht="21.75" customFormat="1" customHeight="1" s="4">
      <c r="B9" s="4" t="inlineStr">
        <is>
          <t>Day 60</t>
        </is>
      </c>
      <c r="C9" s="4" t="inlineStr">
        <is>
          <t>First 2-3 kaizen events executed</t>
        </is>
      </c>
      <c r="D9" s="4" t="inlineStr">
        <is>
          <t>Cycle time / inventory KPI</t>
        </is>
      </c>
      <c r="E9" s="4" t="inlineStr">
        <is>
          <t>3-5 day cross-functional sessions.</t>
        </is>
      </c>
    </row>
    <row r="10" ht="21.75" customFormat="1" customHeight="1" s="4">
      <c r="B10" s="4" t="inlineStr">
        <is>
          <t>Day 100</t>
        </is>
      </c>
      <c r="C10" s="4" t="inlineStr">
        <is>
          <t>Daily kaizen huddles running; monthly reporting</t>
        </is>
      </c>
      <c r="D10" s="4" t="inlineStr">
        <is>
          <t>Cadence set</t>
        </is>
      </c>
      <c r="E10" s="4" t="inlineStr">
        <is>
          <t>Installed, not complete. Full maturity 2-3 years.</t>
        </is>
      </c>
    </row>
    <row r="11" ht="21.75" customFormat="1" customHeight="1" s="4">
      <c r="B11" s="4" t="inlineStr">
        <is>
          <t>Months 6-18</t>
        </is>
      </c>
      <c r="C11" s="4" t="inlineStr">
        <is>
          <t>VOC and Hoshin Kanri pillars introduced</t>
        </is>
      </c>
      <c r="D11" s="4" t="inlineStr">
        <is>
          <t>1st X-matrix cascade</t>
        </is>
      </c>
      <c r="E11" s="4" t="inlineStr">
        <is>
          <t>Strategic pillars require lean maturity first.</t>
        </is>
      </c>
    </row>
    <row r="12" ht="21.75" customFormat="1" customHeight="1" s="4">
      <c r="B12" s="4" t="inlineStr">
        <is>
          <t>Year 3+</t>
        </is>
      </c>
      <c r="C12" s="4" t="inlineStr">
        <is>
          <t>Business is DBS-native; own leaders coach</t>
        </is>
      </c>
      <c r="D12" s="4" t="inlineStr">
        <is>
          <t>Self-reproducing DBS</t>
        </is>
      </c>
      <c r="E12" s="4" t="inlineStr">
        <is>
          <t>The mechanism reproduces itself.</t>
        </is>
      </c>
    </row>
    <row r="13" ht="15" customFormat="1" customHeight="1" s="4"/>
    <row r="14" ht="15.75" customFormat="1" customHeight="1" s="4">
      <c r="B14" s="4" t="inlineStr">
        <is>
          <t>DBS INTEGRATION IMPACT — ILLUSTRATIVE PRIOR CASES</t>
        </is>
      </c>
    </row>
    <row r="15" ht="21.75" customFormat="1" customHeight="1" s="4">
      <c r="B15" s="4" t="inlineStr">
        <is>
          <t>Acquisition</t>
        </is>
      </c>
      <c r="C15" s="4" t="inlineStr">
        <is>
          <t>Pre-close margin</t>
        </is>
      </c>
      <c r="D15" s="4" t="inlineStr">
        <is>
          <t>Post-DBS margin</t>
        </is>
      </c>
      <c r="E15" s="4" t="inlineStr">
        <is>
          <t>DBS uplift</t>
        </is>
      </c>
    </row>
    <row r="16" ht="18" customFormat="1" customHeight="1" s="4">
      <c r="B16" s="4" t="inlineStr">
        <is>
          <t>Beckman Coulter (2011)</t>
        </is>
      </c>
      <c r="C16" s="4" t="inlineStr">
        <is>
          <t>~14%</t>
        </is>
      </c>
      <c r="D16" s="4" t="inlineStr">
        <is>
          <t>~22-24%</t>
        </is>
      </c>
      <c r="E16" s="4" t="inlineStr">
        <is>
          <t>~8-10pp over 3-4 years</t>
        </is>
      </c>
    </row>
    <row r="17" ht="18" customFormat="1" customHeight="1" s="4">
      <c r="B17" s="4" t="inlineStr">
        <is>
          <t>Pall Corporation (2015)</t>
        </is>
      </c>
      <c r="C17" s="4" t="inlineStr">
        <is>
          <t>~17%</t>
        </is>
      </c>
      <c r="D17" s="4" t="inlineStr">
        <is>
          <t>~25-27%</t>
        </is>
      </c>
      <c r="E17" s="4" t="inlineStr">
        <is>
          <t>~8-10pp over 3-4 years</t>
        </is>
      </c>
    </row>
    <row r="18" ht="18" customFormat="1" customHeight="1" s="4">
      <c r="B18" s="4" t="inlineStr">
        <is>
          <t>Cepheid (2016)</t>
        </is>
      </c>
      <c r="C18" s="4" t="inlineStr">
        <is>
          <t>~10%</t>
        </is>
      </c>
      <c r="D18" s="4" t="inlineStr">
        <is>
          <t>~30%+ (COVID surge)</t>
        </is>
      </c>
      <c r="E18" s="4" t="inlineStr">
        <is>
          <t>~15-20pp (mix + volume)</t>
        </is>
      </c>
    </row>
    <row r="19" ht="18" customFormat="1" customHeight="1" s="4">
      <c r="B19" s="4" t="inlineStr">
        <is>
          <t>Cytiva (2020)</t>
        </is>
      </c>
      <c r="C19" s="4" t="inlineStr">
        <is>
          <t>~22-24%</t>
        </is>
      </c>
      <c r="D19" s="4" t="inlineStr">
        <is>
          <t>~28-30% (in progress)</t>
        </is>
      </c>
      <c r="E19" s="4" t="inlineStr">
        <is>
          <t>~5-6pp over 5 years</t>
        </is>
      </c>
    </row>
    <row r="20" ht="18" customFormat="1" customHeight="1" s="4">
      <c r="B20" s="4" t="inlineStr">
        <is>
          <t>Aldevron (2021)</t>
        </is>
      </c>
      <c r="C20" s="4" t="inlineStr">
        <is>
          <t>~35-40%</t>
        </is>
      </c>
      <c r="D20" s="4" t="inlineStr">
        <is>
          <t>~35-40% (steady)</t>
        </is>
      </c>
      <c r="E20" s="4" t="inlineStr">
        <is>
          <t>Cycle-time / WC focus</t>
        </is>
      </c>
    </row>
  </sheetData>
  <mergeCells count="5">
    <mergeCell ref="A4:E4"/>
    <mergeCell ref="A1:E1"/>
    <mergeCell ref="B5:E5"/>
    <mergeCell ref="B14:E14"/>
    <mergeCell ref="A3:E3"/>
  </mergeCells>
  <hyperlinks>
    <hyperlink xmlns:r="http://schemas.openxmlformats.org/officeDocument/2006/relationships" ref="A2" location="INDEX!A1" display="TOP OF WORKBOOK  ·  BACK TO INDEX" r:id="rId1"/>
  </hyperlinks>
  <printOptions horizontalCentered="1" verticalCentered="0" headings="0" gridLines="0" gridLinesSet="1"/>
  <pageMargins left="0.5" right="0.5" top="0.5" bottom="0.5" header="0.3" footer="0.3"/>
  <pageSetup orientation="landscape" paperSize="1" scale="100" fitToHeight="0" fitToWidth="1" pageOrder="downThenOver" blackAndWhite="0" draft="0" horizontalDpi="300" verticalDpi="300" copies="1"/>
  <headerFooter differentOddEven="0" differentFirst="0">
    <oddHeader>&amp;L&amp;8 &amp;K3C3F45DBS_METRICS&amp;C&amp;9 &amp;K0d2747DBS_METRICS&amp;R&amp;8 &amp;KC89000BARATELLI INSTITUTE  *  MENTORING AT SCALE</oddHeader>
    <oddFooter>&amp;L&amp;8 &amp;K3C3F45baratelliinstitute.com&amp;C&amp;8 &amp;K3C3F45Page &amp;P of &amp;N&amp;R&amp;8 &amp;K3C3F45Danaher Compounder 2026</oddFooter>
    <evenHeader/>
    <evenFooter/>
    <firstHeader/>
    <firstFooter/>
  </headerFooter>
  <drawing xmlns:r="http://schemas.openxmlformats.org/officeDocument/2006/relationships" r:id="rId2"/>
</worksheet>
</file>

<file path=xl/worksheets/sheet9.xml><?xml version="1.0" encoding="utf-8"?>
<worksheet xmlns="http://schemas.openxmlformats.org/spreadsheetml/2006/main">
  <sheetPr filterMode="0">
    <tabColor rgb="FFC89000"/>
    <outlinePr summaryBelow="1" summaryRight="1"/>
    <pageSetUpPr fitToPage="1"/>
  </sheetPr>
  <dimension ref="A1:H17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A1" activeCellId="0" sqref="A1"/>
    </sheetView>
  </sheetViews>
  <sheetFormatPr baseColWidth="8" defaultColWidth="8.6796875" defaultRowHeight="15" customHeight="0" zeroHeight="0" outlineLevelRow="0"/>
  <cols>
    <col width="34" customWidth="1" style="4" min="1" max="1"/>
    <col width="20" customWidth="1" style="4" min="2" max="2"/>
    <col width="13" customWidth="1" style="4" min="3" max="3"/>
    <col width="14" customWidth="1" style="4" min="4" max="7"/>
    <col width="30" customWidth="1" style="4" min="8" max="8"/>
  </cols>
  <sheetData>
    <row r="1" ht="21.75" customFormat="1" customHeight="1" s="4">
      <c r="A1" s="4" t="inlineStr">
        <is>
          <t>BARATELLI INSTITUTE  ·  MENTORING AT SCALE  ·  DANAHER COMPOUNDER CASE MODEL  ·  JULY 6, 2026</t>
        </is>
      </c>
    </row>
    <row r="2" ht="13.5" customFormat="1" customHeight="1" s="4">
      <c r="A2" s="6" t="inlineStr">
        <is>
          <t>TOP OF WORKBOOK  ·  BACK TO INDEX</t>
        </is>
      </c>
    </row>
    <row r="3" ht="21.75" customFormat="1" customHeight="1" s="4">
      <c r="A3" s="4" t="inlineStr">
        <is>
          <t>SPINOFF DATA — FTV / NVST / VLTO</t>
        </is>
      </c>
    </row>
    <row r="4" ht="25.5" customFormat="1" customHeight="1" s="4">
      <c r="A4" s="4" t="inlineStr">
        <is>
          <t>Table 5a spinoff standalone financials + Table 5b post-spin bolt-on acquisition record.</t>
        </is>
      </c>
    </row>
    <row r="5" ht="15.75" customFormat="1" customHeight="1" s="4">
      <c r="B5" s="4" t="inlineStr">
        <is>
          <t>TABLE 5a — THE THREE SPINOFFS</t>
        </is>
      </c>
    </row>
    <row r="6" ht="21.75" customFormat="1" customHeight="1" s="4">
      <c r="B6" s="4" t="inlineStr">
        <is>
          <t>Spinoff</t>
        </is>
      </c>
      <c r="C6" s="4" t="inlineStr">
        <is>
          <t>Spin year</t>
        </is>
      </c>
      <c r="D6" s="4" t="inlineStr">
        <is>
          <t>Rev at spin ($B)</t>
        </is>
      </c>
      <c r="E6" s="4" t="inlineStr">
        <is>
          <t>Rev FY2025 ($B)</t>
        </is>
      </c>
      <c r="F6" s="4" t="inlineStr">
        <is>
          <t>EBITDA FY2025 ($B)</t>
        </is>
      </c>
      <c r="G6" s="4" t="inlineStr">
        <is>
          <t>Mkt cap ($B)</t>
        </is>
      </c>
      <c r="H6" s="4" t="inlineStr">
        <is>
          <t>Platform focus</t>
        </is>
      </c>
    </row>
    <row r="7" ht="21.75" customFormat="1" customHeight="1" s="4">
      <c r="B7" s="4" t="inlineStr">
        <is>
          <t>Fortive (FTV)</t>
        </is>
      </c>
      <c r="C7" s="4" t="inlineStr">
        <is>
          <t>2016</t>
        </is>
      </c>
      <c r="D7" s="7" t="n">
        <v>6.2</v>
      </c>
      <c r="E7" s="7" t="n">
        <v>6.3</v>
      </c>
      <c r="F7" s="7" t="n">
        <v>1.7</v>
      </c>
      <c r="G7" s="7" t="n">
        <v>30</v>
      </c>
      <c r="H7" s="4" t="inlineStr">
        <is>
          <t>Industrial tech: Fluke, Tektronix, GVR, ServiceChannel, Accruent.</t>
        </is>
      </c>
    </row>
    <row r="8" ht="21.75" customFormat="1" customHeight="1" s="4">
      <c r="B8" s="4" t="inlineStr">
        <is>
          <t>Envista (NVST)</t>
        </is>
      </c>
      <c r="C8" s="4" t="inlineStr">
        <is>
          <t>2019</t>
        </is>
      </c>
      <c r="D8" s="7" t="n">
        <v>2.6</v>
      </c>
      <c r="E8" s="7" t="n">
        <v>2.5</v>
      </c>
      <c r="F8" s="7" t="n">
        <v>0.5</v>
      </c>
      <c r="G8" s="7" t="n">
        <v>4</v>
      </c>
      <c r="H8" s="4" t="inlineStr">
        <is>
          <t>Dental: Nobel Biocare, Ormco, KaVo Kerr, DEXIS.</t>
        </is>
      </c>
    </row>
    <row r="9" ht="21.75" customFormat="1" customHeight="1" s="4">
      <c r="B9" s="4" t="inlineStr">
        <is>
          <t>Veralto (VLTO)</t>
        </is>
      </c>
      <c r="C9" s="4" t="inlineStr">
        <is>
          <t>2023</t>
        </is>
      </c>
      <c r="D9" s="7" t="n">
        <v>5</v>
      </c>
      <c r="E9" s="7" t="n">
        <v>5.2</v>
      </c>
      <c r="F9" s="7" t="n">
        <v>1.35</v>
      </c>
      <c r="G9" s="7" t="n">
        <v>22</v>
      </c>
      <c r="H9" s="4" t="inlineStr">
        <is>
          <t>Water quality (Hach, Trojan) + product ID (Videojet, Pantone).</t>
        </is>
      </c>
    </row>
    <row r="10" ht="21.75" customFormat="1" customHeight="1" s="4">
      <c r="B10" s="4" t="inlineStr">
        <is>
          <t>Aggregate</t>
        </is>
      </c>
      <c r="C10" s="4" t="inlineStr">
        <is>
          <t>—</t>
        </is>
      </c>
      <c r="D10" s="7" t="n">
        <v>13.8</v>
      </c>
      <c r="E10" s="7" t="n">
        <v>14</v>
      </c>
      <c r="F10" s="7" t="n">
        <v>3.55</v>
      </c>
      <c r="G10" s="7" t="n">
        <v>56</v>
      </c>
      <c r="H10" s="4" t="inlineStr">
        <is>
          <t>Combined FY25 EBITDA ~$3.55B; combined mkt cap ~$56B.</t>
        </is>
      </c>
    </row>
    <row r="11" ht="15" customFormat="1" customHeight="1" s="4"/>
    <row r="12" ht="15.75" customFormat="1" customHeight="1" s="4">
      <c r="B12" s="4" t="inlineStr">
        <is>
          <t>TABLE 5b — POST-SPIN BOLT-ON ACQUISITIONS</t>
        </is>
      </c>
    </row>
    <row r="13" ht="21.75" customFormat="1" customHeight="1" s="4">
      <c r="B13" s="4" t="inlineStr">
        <is>
          <t>Spinoff</t>
        </is>
      </c>
      <c r="C13" s="4" t="inlineStr">
        <is>
          <t>Bolt-ons since spin</t>
        </is>
      </c>
      <c r="D13" s="4" t="inlineStr">
        <is>
          <t>Capital deployed ($B)</t>
        </is>
      </c>
      <c r="H13" s="4" t="inlineStr">
        <is>
          <t>Institute note</t>
        </is>
      </c>
    </row>
    <row r="14" ht="19.5" customFormat="1" customHeight="1" s="4">
      <c r="B14" s="4" t="inlineStr">
        <is>
          <t>Fortive (2016-2026)</t>
        </is>
      </c>
      <c r="C14" s="7" t="n">
        <v>40</v>
      </c>
      <c r="D14" s="7" t="n">
        <v>9</v>
      </c>
      <c r="H14" s="4" t="inlineStr">
        <is>
          <t>Accruent, ServiceChannel, Provation. FBS at every target.</t>
        </is>
      </c>
    </row>
    <row r="15" ht="19.5" customFormat="1" customHeight="1" s="4">
      <c r="B15" s="4" t="inlineStr">
        <is>
          <t>Envista (2019-2026)</t>
        </is>
      </c>
      <c r="C15" s="7" t="n">
        <v>10</v>
      </c>
      <c r="D15" s="7" t="n">
        <v>0.75</v>
      </c>
      <c r="H15" s="4" t="inlineStr">
        <is>
          <t>Smaller cadence; cycle headwinds. EBS discipline maintained.</t>
        </is>
      </c>
    </row>
    <row r="16" ht="19.5" customFormat="1" customHeight="1" s="4">
      <c r="B16" s="4" t="inlineStr">
        <is>
          <t>Veralto (2023-2026)</t>
        </is>
      </c>
      <c r="C16" s="7" t="n">
        <v>8</v>
      </c>
      <c r="D16" s="7" t="n">
        <v>1.5</v>
      </c>
      <c r="H16" s="4" t="inlineStr">
        <is>
          <t>Early post-spin; TraceGains, AquaPhoenix. VES installation.</t>
        </is>
      </c>
    </row>
    <row r="17" ht="19.5" customFormat="1" customHeight="1" s="4">
      <c r="B17" s="4" t="inlineStr">
        <is>
          <t>Total post-spin</t>
        </is>
      </c>
      <c r="C17" s="7" t="n">
        <v>58</v>
      </c>
      <c r="D17" s="7" t="n">
        <v>11.25</v>
      </c>
      <c r="H17" s="4" t="inlineStr">
        <is>
          <t>All three continue DBS-derived integration discipline.</t>
        </is>
      </c>
    </row>
  </sheetData>
  <mergeCells count="5">
    <mergeCell ref="A4:H4"/>
    <mergeCell ref="A3:H3"/>
    <mergeCell ref="B12:H12"/>
    <mergeCell ref="A1:H1"/>
    <mergeCell ref="B5:H5"/>
  </mergeCells>
  <hyperlinks>
    <hyperlink xmlns:r="http://schemas.openxmlformats.org/officeDocument/2006/relationships" ref="A2" location="INDEX!A1" display="TOP OF WORKBOOK  ·  BACK TO INDEX" r:id="rId1"/>
  </hyperlinks>
  <printOptions horizontalCentered="1" verticalCentered="0" headings="0" gridLines="0" gridLinesSet="1"/>
  <pageMargins left="0.5" right="0.5" top="0.5" bottom="0.5" header="0.3" footer="0.3"/>
  <pageSetup orientation="landscape" paperSize="1" scale="100" fitToHeight="0" fitToWidth="1" pageOrder="downThenOver" blackAndWhite="0" draft="0" horizontalDpi="300" verticalDpi="300" copies="1"/>
  <headerFooter differentOddEven="0" differentFirst="0">
    <oddHeader>&amp;L&amp;8 &amp;K3C3F45SPINOFF_DATA&amp;C&amp;9 &amp;K0d2747SPINOFF_DATA&amp;R&amp;8 &amp;KC89000BARATELLI INSTITUTE  *  MENTORING AT SCALE</oddHeader>
    <oddFooter>&amp;L&amp;8 &amp;K3C3F45baratelliinstitute.com&amp;C&amp;8 &amp;K3C3F45Page &amp;P of &amp;N&amp;R&amp;8 &amp;K3C3F45Danaher Compounder 2026</oddFooter>
    <evenHeader/>
    <evenFooter/>
    <firstHeader/>
    <firstFooter/>
  </headerFooter>
  <drawing xmlns:r="http://schemas.openxmlformats.org/officeDocument/2006/relationships" r:id="rId2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2026-07-06T04:58:57Z</dcterms:created>
  <dcterms:modified xmlns:dcterms="http://purl.org/dc/terms/" xmlns:xsi="http://www.w3.org/2001/XMLSchema-instance" xsi:type="dcterms:W3CDTF">2026-07-08T20:43:08Z</dcterms:modified>
  <cp:revision>0</cp:revision>
</cp:coreProperties>
</file>