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_Baratelli_Toolkit" sheetId="1" state="visible" r:id="rId1"/>
    <sheet xmlns:r="http://schemas.openxmlformats.org/officeDocument/2006/relationships" name="Cover" sheetId="2" state="visible" r:id="rId2"/>
    <sheet xmlns:r="http://schemas.openxmlformats.org/officeDocument/2006/relationships" name="Baseline_FY25" sheetId="3" state="visible" r:id="rId3"/>
    <sheet xmlns:r="http://schemas.openxmlformats.org/officeDocument/2006/relationships" name="Balance_Sheet" sheetId="4" state="visible" r:id="rId4"/>
    <sheet xmlns:r="http://schemas.openxmlformats.org/officeDocument/2006/relationships" name="Driver1_GEICO" sheetId="5" state="visible" r:id="rId5"/>
    <sheet xmlns:r="http://schemas.openxmlformats.org/officeDocument/2006/relationships" name="Driver2_International" sheetId="6" state="visible" r:id="rId6"/>
    <sheet xmlns:r="http://schemas.openxmlformats.org/officeDocument/2006/relationships" name="ProForma_Y2" sheetId="7" state="visible" r:id="rId7"/>
    <sheet xmlns:r="http://schemas.openxmlformats.org/officeDocument/2006/relationships" name="Intrinsic_Value" sheetId="8" state="visible" r:id="rId8"/>
    <sheet xmlns:r="http://schemas.openxmlformats.org/officeDocument/2006/relationships" name="Sensitivity" sheetId="9" state="visible" r:id="rId9"/>
    <sheet xmlns:r="http://schemas.openxmlformats.org/officeDocument/2006/relationships" name="Valuation" sheetId="10" state="visible" r:id="rId10"/>
    <sheet xmlns:r="http://schemas.openxmlformats.org/officeDocument/2006/relationships" name="Assumptions" sheetId="11" state="visible" r:id="rId11"/>
    <sheet xmlns:r="http://schemas.openxmlformats.org/officeDocument/2006/relationships" name="Sources" sheetId="12" state="visible" r:id="rId12"/>
  </sheets>
  <definedNames>
    <definedName name="Driver1_Value">Driver1_GEICO!$C$24</definedName>
    <definedName name="Driver2_Value">Driver2_International!$C$20</definedName>
    <definedName name="Driver3_Value">Driver3_RealEstate!$C$21</definedName>
    <definedName name="_xlnm.Print_Titles" localSheetId="1">'Cover'!$1:$3</definedName>
    <definedName name="_xlnm.Print_Area" localSheetId="1">'Cover'!$A$1:$C$28</definedName>
    <definedName name="_xlnm.Print_Titles" localSheetId="2">'Baseline_FY25'!$1:$3</definedName>
    <definedName name="_xlnm.Print_Area" localSheetId="2">'Baseline_FY25'!$A$1:$G$32</definedName>
    <definedName name="_xlnm.Print_Titles" localSheetId="3">'Balance_Sheet'!$1:$3</definedName>
    <definedName name="_xlnm.Print_Area" localSheetId="3">'Balance_Sheet'!$A$1:$E$43</definedName>
    <definedName name="_xlnm.Print_Titles" localSheetId="4">'Driver1_GEICO'!$1:$3</definedName>
    <definedName name="_xlnm.Print_Area" localSheetId="4">'Driver1_GEICO'!$A$1:$D$27</definedName>
    <definedName name="_xlnm.Print_Titles" localSheetId="5">'Driver2_International'!$1:$3</definedName>
    <definedName name="_xlnm.Print_Area" localSheetId="5">'Driver2_International'!$A$1:$D$23</definedName>
    <definedName name="_xlnm.Print_Titles" localSheetId="6">'ProForma_Y2'!$1:$3</definedName>
    <definedName name="_xlnm.Print_Area" localSheetId="6">'ProForma_Y2'!$A$1:$H$19</definedName>
    <definedName name="_xlnm.Print_Titles" localSheetId="7">'Intrinsic_Value'!$1:$3</definedName>
    <definedName name="_xlnm.Print_Area" localSheetId="7">'Intrinsic_Value'!$A$1:$F$49</definedName>
    <definedName name="_xlnm.Print_Titles" localSheetId="8">'Sensitivity'!$1:$3</definedName>
    <definedName name="_xlnm.Print_Area" localSheetId="8">'Sensitivity'!$A$1:$E$28</definedName>
    <definedName name="_xlnm.Print_Titles" localSheetId="9">'Valuation'!$1:$3</definedName>
    <definedName name="_xlnm.Print_Area" localSheetId="9">'Valuation'!$A$1:$H$21</definedName>
    <definedName name="_xlnm.Print_Titles" localSheetId="10">'Assumptions'!$1:$3</definedName>
    <definedName name="_xlnm.Print_Area" localSheetId="10">'Assumptions'!$A$1:$E$42</definedName>
    <definedName name="_xlnm.Print_Titles" localSheetId="11">'Sources'!$1:$3</definedName>
    <definedName name="_xlnm.Print_Area" localSheetId="11">'Sources'!$A$1:$C$15</definedName>
  </definedNames>
  <calcPr calcId="124519" fullCalcOnLoad="1"/>
</workbook>
</file>

<file path=xl/styles.xml><?xml version="1.0" encoding="utf-8"?>
<styleSheet xmlns="http://schemas.openxmlformats.org/spreadsheetml/2006/main">
  <numFmts count="9">
    <numFmt numFmtId="164" formatCode="&quot;$&quot;#,##0;(&quot;$&quot;#,##0)"/>
    <numFmt numFmtId="165" formatCode="0.0%"/>
    <numFmt numFmtId="166" formatCode="&quot;$&quot;#,##0.0&quot;M&quot;;(&quot;$&quot;#,##0.0&quot;M&quot;)"/>
    <numFmt numFmtId="167" formatCode="#,##0.0&quot;x&quot;"/>
    <numFmt numFmtId="168" formatCode="&quot;$&quot;#,##0.00&quot;B&quot;"/>
    <numFmt numFmtId="169" formatCode="&quot;$&quot;#,##0.00&quot;B&quot;;(&quot;$&quot;#,##0.00&quot;B&quot;)"/>
    <numFmt numFmtId="170" formatCode="&quot;$&quot;#,##0.00"/>
    <numFmt numFmtId="171" formatCode="0.00&quot;x&quot;"/>
    <numFmt numFmtId="172" formatCode="0.0&quot; yrs&quot;"/>
  </numFmts>
  <fonts count="30">
    <font>
      <name val="Calibri"/>
      <family val="2"/>
      <color theme="1"/>
      <sz val="11"/>
      <scheme val="minor"/>
    </font>
    <font>
      <name val="Calibri"/>
      <b val="1"/>
      <color rgb="FF19264D"/>
      <sz val="18"/>
    </font>
    <font>
      <name val="Calibri"/>
      <color rgb="FF737373"/>
      <sz val="9"/>
    </font>
    <font>
      <name val="Calibri"/>
      <b val="1"/>
      <i val="1"/>
      <color rgb="FF7C2D12"/>
      <sz val="10"/>
    </font>
    <font>
      <name val="Calibri"/>
      <b val="1"/>
      <color rgb="FF19264D"/>
      <sz val="14"/>
    </font>
    <font>
      <name val="Calibri"/>
      <b val="1"/>
      <color rgb="FFFFFFFF"/>
      <sz val="10"/>
    </font>
    <font>
      <name val="Calibri"/>
      <b val="1"/>
      <color rgb="FF19264D"/>
      <sz val="10"/>
    </font>
    <font>
      <name val="Calibri"/>
      <color rgb="FF19264D"/>
      <sz val="10"/>
    </font>
    <font>
      <name val="Calibri"/>
      <i val="1"/>
      <color rgb="FF737373"/>
      <sz val="8"/>
    </font>
    <font>
      <name val="Calibri"/>
      <i val="1"/>
      <color rgb="FF737373"/>
      <sz val="9"/>
    </font>
    <font>
      <name val="Calibri"/>
      <b val="1"/>
      <color rgb="FF19264D"/>
      <sz val="11"/>
    </font>
    <font>
      <name val="Calibri"/>
      <b val="1"/>
      <color rgb="FF14532D"/>
      <sz val="10"/>
    </font>
    <font>
      <name val="Calibri"/>
      <b val="1"/>
      <color rgb="FF7C2D12"/>
      <sz val="10"/>
    </font>
    <font>
      <name val="Calibri"/>
      <b val="1"/>
      <color rgb="FF1E3A8A"/>
      <sz val="10"/>
    </font>
    <font>
      <name val="Calibri"/>
      <i val="1"/>
      <color rgb="FF19264D"/>
      <sz val="10"/>
    </font>
    <font>
      <name val="Calibri"/>
      <b val="1"/>
      <color rgb="00FFFFFF"/>
      <sz val="16"/>
    </font>
    <font>
      <name val="Calibri"/>
      <i val="1"/>
      <color rgb="000D2747"/>
      <sz val="11"/>
    </font>
    <font>
      <name val="Calibri"/>
      <color rgb="001E1E1E"/>
      <sz val="11"/>
    </font>
    <font>
      <name val="Calibri"/>
      <b val="1"/>
      <color rgb="00C89000"/>
      <sz val="12"/>
    </font>
    <font>
      <name val="Calibri"/>
      <color rgb="001E1E1E"/>
      <sz val="10"/>
    </font>
    <font>
      <name val="Calibri"/>
      <b val="1"/>
      <color rgb="000D2747"/>
      <sz val="18"/>
    </font>
    <font>
      <name val="Calibri"/>
      <b val="1"/>
      <color rgb="000D2747"/>
      <sz val="12"/>
      <u val="single"/>
    </font>
    <font>
      <name val="Calibri"/>
      <i val="1"/>
      <color rgb="000D2747"/>
      <sz val="10"/>
    </font>
    <font>
      <name val="Calibri"/>
      <b val="1"/>
      <color rgb="00C89000"/>
      <sz val="10"/>
      <u val="single"/>
    </font>
    <font>
      <name val="Calibri"/>
      <i val="1"/>
      <color rgb="001A1A1A"/>
      <sz val="11"/>
    </font>
    <font>
      <name val="Calibri"/>
      <color rgb="001A1A1A"/>
      <sz val="11"/>
    </font>
    <font>
      <name val="Calibri"/>
      <b val="1"/>
      <color rgb="00C9A227"/>
      <sz val="12"/>
    </font>
    <font>
      <name val="Calibri"/>
      <b val="1"/>
      <color rgb="000D2747"/>
      <sz val="24"/>
    </font>
    <font>
      <name val="Calibri"/>
      <i val="1"/>
      <color rgb="001A1A1A"/>
      <sz val="10"/>
    </font>
    <font>
      <name val="Calibri"/>
      <b val="1"/>
      <color rgb="00C9A227"/>
      <sz val="10"/>
      <u val="single"/>
    </font>
  </fonts>
  <fills count="10">
    <fill>
      <patternFill/>
    </fill>
    <fill>
      <patternFill patternType="gray125"/>
    </fill>
    <fill>
      <patternFill patternType="solid">
        <fgColor rgb="FFF8F0D9"/>
      </patternFill>
    </fill>
    <fill>
      <patternFill patternType="solid">
        <fgColor rgb="FF19264D"/>
      </patternFill>
    </fill>
    <fill>
      <patternFill patternType="solid">
        <fgColor rgb="FFF5F4EF"/>
      </patternFill>
    </fill>
    <fill>
      <patternFill patternType="solid">
        <fgColor rgb="FFFFF9C4"/>
      </patternFill>
    </fill>
    <fill>
      <patternFill patternType="solid">
        <fgColor rgb="000D2747"/>
        <bgColor rgb="000D2747"/>
      </patternFill>
    </fill>
    <fill>
      <patternFill patternType="solid">
        <fgColor rgb="00FBF7EC"/>
        <bgColor rgb="00FBF7EC"/>
      </patternFill>
    </fill>
    <fill>
      <patternFill patternType="solid">
        <fgColor rgb="00C89000"/>
        <bgColor rgb="00C89000"/>
      </patternFill>
    </fill>
    <fill>
      <patternFill patternType="solid">
        <fgColor rgb="00C9A227"/>
        <bgColor rgb="00C9A227"/>
      </patternFill>
    </fill>
  </fills>
  <borders count="2">
    <border>
      <left/>
      <right/>
      <top/>
      <bottom/>
      <diagonal/>
    </border>
    <border>
      <left style="thin">
        <color rgb="FFD9D2BD"/>
      </left>
      <right style="thin">
        <color rgb="FFD9D2BD"/>
      </right>
      <top style="thin">
        <color rgb="FFD9D2BD"/>
      </top>
      <bottom style="thin">
        <color rgb="FFD9D2BD"/>
      </bottom>
    </border>
  </borders>
  <cellStyleXfs count="1">
    <xf numFmtId="0" fontId="0" fillId="0" borderId="0"/>
  </cellStyleXfs>
  <cellXfs count="10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3" borderId="1" applyAlignment="1" pivotButton="0" quotePrefix="0" xfId="0">
      <alignment horizontal="left" vertical="top" wrapText="1"/>
    </xf>
    <xf numFmtId="0" fontId="6" fillId="0" borderId="1" pivotButton="0" quotePrefix="0" xfId="0"/>
    <xf numFmtId="0" fontId="7" fillId="0" borderId="1" applyAlignment="1" pivotButton="0" quotePrefix="0" xfId="0">
      <alignment vertical="top" wrapText="1"/>
    </xf>
    <xf numFmtId="0" fontId="6" fillId="4" borderId="1" pivotButton="0" quotePrefix="0" xfId="0"/>
    <xf numFmtId="0" fontId="7" fillId="4" borderId="1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6" fillId="0" borderId="0" pivotButton="0" quotePrefix="0" xfId="0"/>
    <xf numFmtId="0" fontId="8" fillId="0" borderId="0" pivotButton="0" quotePrefix="0" xfId="0"/>
    <xf numFmtId="164" fontId="7" fillId="0" borderId="1" applyAlignment="1" pivotButton="0" quotePrefix="0" xfId="0">
      <alignment horizontal="right" vertical="top"/>
    </xf>
    <xf numFmtId="165" fontId="7" fillId="0" borderId="1" applyAlignment="1" pivotButton="0" quotePrefix="0" xfId="0">
      <alignment horizontal="right" vertical="top"/>
    </xf>
    <xf numFmtId="0" fontId="9" fillId="0" borderId="1" applyAlignment="1" pivotButton="0" quotePrefix="0" xfId="0">
      <alignment vertical="top" wrapText="1"/>
    </xf>
    <xf numFmtId="164" fontId="7" fillId="4" borderId="1" applyAlignment="1" pivotButton="0" quotePrefix="0" xfId="0">
      <alignment horizontal="right" vertical="top"/>
    </xf>
    <xf numFmtId="165" fontId="7" fillId="4" borderId="1" applyAlignment="1" pivotButton="0" quotePrefix="0" xfId="0">
      <alignment horizontal="right" vertical="top"/>
    </xf>
    <xf numFmtId="0" fontId="9" fillId="4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164" fontId="6" fillId="0" borderId="1" applyAlignment="1" pivotButton="0" quotePrefix="0" xfId="0">
      <alignment horizontal="right" vertical="top"/>
    </xf>
    <xf numFmtId="165" fontId="6" fillId="0" borderId="1" applyAlignment="1" pivotButton="0" quotePrefix="0" xfId="0">
      <alignment horizontal="right" vertical="top"/>
    </xf>
    <xf numFmtId="0" fontId="6" fillId="4" borderId="1" applyAlignment="1" pivotButton="0" quotePrefix="0" xfId="0">
      <alignment vertical="top" wrapText="1"/>
    </xf>
    <xf numFmtId="164" fontId="6" fillId="4" borderId="1" applyAlignment="1" pivotButton="0" quotePrefix="0" xfId="0">
      <alignment horizontal="right" vertical="top"/>
    </xf>
    <xf numFmtId="165" fontId="6" fillId="4" borderId="1" applyAlignment="1" pivotButton="0" quotePrefix="0" xfId="0">
      <alignment horizontal="right" vertical="top"/>
    </xf>
    <xf numFmtId="0" fontId="7" fillId="0" borderId="0" pivotButton="0" quotePrefix="0" xfId="0"/>
    <xf numFmtId="165" fontId="6" fillId="0" borderId="0" applyAlignment="1" pivotButton="0" quotePrefix="0" xfId="0">
      <alignment horizontal="right"/>
    </xf>
    <xf numFmtId="0" fontId="9" fillId="0" borderId="0" pivotButton="0" quotePrefix="0" xfId="0"/>
    <xf numFmtId="3" fontId="6" fillId="0" borderId="0" applyAlignment="1" pivotButton="0" quotePrefix="0" xfId="0">
      <alignment horizontal="right"/>
    </xf>
    <xf numFmtId="0" fontId="6" fillId="2" borderId="1" applyAlignment="1" pivotButton="0" quotePrefix="0" xfId="0">
      <alignment vertical="top" wrapText="1"/>
    </xf>
    <xf numFmtId="164" fontId="6" fillId="2" borderId="1" applyAlignment="1" pivotButton="0" quotePrefix="0" xfId="0">
      <alignment horizontal="right" vertical="top"/>
    </xf>
    <xf numFmtId="0" fontId="9" fillId="2" borderId="1" applyAlignment="1" pivotButton="0" quotePrefix="0" xfId="0">
      <alignment vertical="top" wrapText="1"/>
    </xf>
    <xf numFmtId="0" fontId="6" fillId="0" borderId="0" applyAlignment="1" pivotButton="0" quotePrefix="0" xfId="0">
      <alignment horizontal="right"/>
    </xf>
    <xf numFmtId="3" fontId="7" fillId="5" borderId="1" applyAlignment="1" pivotButton="0" quotePrefix="0" xfId="0">
      <alignment horizontal="right" vertical="top"/>
    </xf>
    <xf numFmtId="0" fontId="8" fillId="0" borderId="1" applyAlignment="1" pivotButton="0" quotePrefix="0" xfId="0">
      <alignment vertical="top" wrapText="1"/>
    </xf>
    <xf numFmtId="165" fontId="7" fillId="5" borderId="1" applyAlignment="1" pivotButton="0" quotePrefix="0" xfId="0">
      <alignment horizontal="right" vertical="top"/>
    </xf>
    <xf numFmtId="3" fontId="6" fillId="0" borderId="1" applyAlignment="1" pivotButton="0" quotePrefix="0" xfId="0">
      <alignment horizontal="right" vertical="top"/>
    </xf>
    <xf numFmtId="164" fontId="7" fillId="5" borderId="1" applyAlignment="1" pivotButton="0" quotePrefix="0" xfId="0">
      <alignment horizontal="right" vertical="top"/>
    </xf>
    <xf numFmtId="0" fontId="6" fillId="2" borderId="0" pivotButton="0" quotePrefix="0" xfId="0"/>
    <xf numFmtId="164" fontId="10" fillId="2" borderId="0" applyAlignment="1" pivotButton="0" quotePrefix="0" xfId="0">
      <alignment horizontal="right"/>
    </xf>
    <xf numFmtId="164" fontId="6" fillId="2" borderId="0" pivotButton="0" quotePrefix="0" xfId="0"/>
    <xf numFmtId="0" fontId="7" fillId="0" borderId="1" pivotButton="0" quotePrefix="0" xfId="0"/>
    <xf numFmtId="164" fontId="7" fillId="0" borderId="1" applyAlignment="1" pivotButton="0" quotePrefix="0" xfId="0">
      <alignment horizontal="right"/>
    </xf>
    <xf numFmtId="0" fontId="7" fillId="0" borderId="1" applyAlignment="1" pivotButton="0" quotePrefix="0" xfId="0">
      <alignment horizontal="right"/>
    </xf>
    <xf numFmtId="164" fontId="6" fillId="0" borderId="1" applyAlignment="1" pivotButton="0" quotePrefix="0" xfId="0">
      <alignment horizontal="right"/>
    </xf>
    <xf numFmtId="0" fontId="7" fillId="4" borderId="1" pivotButton="0" quotePrefix="0" xfId="0"/>
    <xf numFmtId="164" fontId="7" fillId="4" borderId="1" applyAlignment="1" pivotButton="0" quotePrefix="0" xfId="0">
      <alignment horizontal="right"/>
    </xf>
    <xf numFmtId="0" fontId="7" fillId="4" borderId="1" applyAlignment="1" pivotButton="0" quotePrefix="0" xfId="0">
      <alignment horizontal="right"/>
    </xf>
    <xf numFmtId="164" fontId="6" fillId="4" borderId="1" applyAlignment="1" pivotButton="0" quotePrefix="0" xfId="0">
      <alignment horizontal="right"/>
    </xf>
    <xf numFmtId="0" fontId="8" fillId="4" borderId="1" applyAlignment="1" pivotButton="0" quotePrefix="0" xfId="0">
      <alignment vertical="top" wrapText="1"/>
    </xf>
    <xf numFmtId="164" fontId="6" fillId="2" borderId="1" applyAlignment="1" pivotButton="0" quotePrefix="0" xfId="0">
      <alignment horizontal="right"/>
    </xf>
    <xf numFmtId="164" fontId="10" fillId="2" borderId="1" applyAlignment="1" pivotButton="0" quotePrefix="0" xfId="0">
      <alignment horizontal="right"/>
    </xf>
    <xf numFmtId="0" fontId="0" fillId="2" borderId="1" applyAlignment="1" pivotButton="0" quotePrefix="0" xfId="0">
      <alignment horizontal="right"/>
    </xf>
    <xf numFmtId="166" fontId="7" fillId="5" borderId="1" applyAlignment="1" pivotButton="0" quotePrefix="0" xfId="0">
      <alignment horizontal="right"/>
    </xf>
    <xf numFmtId="166" fontId="6" fillId="2" borderId="1" applyAlignment="1" pivotButton="0" quotePrefix="0" xfId="0">
      <alignment horizontal="right"/>
    </xf>
    <xf numFmtId="167" fontId="7" fillId="5" borderId="1" applyAlignment="1" pivotButton="0" quotePrefix="0" xfId="0">
      <alignment horizontal="right"/>
    </xf>
    <xf numFmtId="168" fontId="6" fillId="2" borderId="1" applyAlignment="1" pivotButton="0" quotePrefix="0" xfId="0">
      <alignment horizontal="right"/>
    </xf>
    <xf numFmtId="168" fontId="7" fillId="5" borderId="1" applyAlignment="1" pivotButton="0" quotePrefix="0" xfId="0">
      <alignment horizontal="right"/>
    </xf>
    <xf numFmtId="169" fontId="7" fillId="0" borderId="1" applyAlignment="1" pivotButton="0" quotePrefix="0" xfId="0">
      <alignment horizontal="right"/>
    </xf>
    <xf numFmtId="169" fontId="6" fillId="2" borderId="1" applyAlignment="1" pivotButton="0" quotePrefix="0" xfId="0">
      <alignment horizontal="right"/>
    </xf>
    <xf numFmtId="0" fontId="5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right" vertical="center"/>
    </xf>
    <xf numFmtId="170" fontId="7" fillId="0" borderId="1" applyAlignment="1" pivotButton="0" quotePrefix="0" xfId="0">
      <alignment horizontal="right"/>
    </xf>
    <xf numFmtId="165" fontId="7" fillId="0" borderId="1" applyAlignment="1" pivotButton="0" quotePrefix="0" xfId="0">
      <alignment horizontal="right"/>
    </xf>
    <xf numFmtId="171" fontId="7" fillId="0" borderId="1" applyAlignment="1" pivotButton="0" quotePrefix="0" xfId="0">
      <alignment horizontal="right"/>
    </xf>
    <xf numFmtId="172" fontId="7" fillId="0" borderId="1" applyAlignment="1" pivotButton="0" quotePrefix="0" xfId="0">
      <alignment horizontal="right"/>
    </xf>
    <xf numFmtId="170" fontId="7" fillId="4" borderId="1" applyAlignment="1" pivotButton="0" quotePrefix="0" xfId="0">
      <alignment horizontal="right"/>
    </xf>
    <xf numFmtId="165" fontId="7" fillId="4" borderId="1" applyAlignment="1" pivotButton="0" quotePrefix="0" xfId="0">
      <alignment horizontal="right"/>
    </xf>
    <xf numFmtId="171" fontId="7" fillId="4" borderId="1" applyAlignment="1" pivotButton="0" quotePrefix="0" xfId="0">
      <alignment horizontal="right"/>
    </xf>
    <xf numFmtId="172" fontId="7" fillId="4" borderId="1" applyAlignment="1" pivotButton="0" quotePrefix="0" xfId="0">
      <alignment horizontal="right"/>
    </xf>
    <xf numFmtId="3" fontId="0" fillId="0" borderId="0" pivotButton="0" quotePrefix="0" xfId="0"/>
    <xf numFmtId="164" fontId="6" fillId="0" borderId="0" applyAlignment="1" pivotButton="0" quotePrefix="0" xfId="0">
      <alignment horizontal="right"/>
    </xf>
    <xf numFmtId="171" fontId="0" fillId="0" borderId="0" pivotButton="0" quotePrefix="0" xfId="0"/>
    <xf numFmtId="0" fontId="6" fillId="0" borderId="1" applyAlignment="1" pivotButton="0" quotePrefix="0" xfId="0">
      <alignment horizontal="right"/>
    </xf>
    <xf numFmtId="0" fontId="11" fillId="0" borderId="1" applyAlignment="1" pivotButton="0" quotePrefix="0" xfId="0">
      <alignment horizontal="center"/>
    </xf>
    <xf numFmtId="0" fontId="6" fillId="4" borderId="1" applyAlignment="1" pivotButton="0" quotePrefix="0" xfId="0">
      <alignment horizontal="right"/>
    </xf>
    <xf numFmtId="0" fontId="11" fillId="4" borderId="1" applyAlignment="1" pivotButton="0" quotePrefix="0" xfId="0">
      <alignment horizontal="center"/>
    </xf>
    <xf numFmtId="0" fontId="12" fillId="0" borderId="1" applyAlignment="1" pivotButton="0" quotePrefix="0" xfId="0">
      <alignment horizontal="center"/>
    </xf>
    <xf numFmtId="0" fontId="13" fillId="0" borderId="1" applyAlignment="1" pivotButton="0" quotePrefix="0" xfId="0">
      <alignment horizontal="center"/>
    </xf>
    <xf numFmtId="0" fontId="13" fillId="4" borderId="1" applyAlignment="1" pivotButton="0" quotePrefix="0" xfId="0">
      <alignment horizontal="center"/>
    </xf>
    <xf numFmtId="0" fontId="12" fillId="4" borderId="1" applyAlignment="1" pivotButton="0" quotePrefix="0" xfId="0">
      <alignment horizontal="center"/>
    </xf>
    <xf numFmtId="0" fontId="14" fillId="2" borderId="1" applyAlignment="1" pivotButton="0" quotePrefix="0" xfId="0">
      <alignment vertical="top" wrapText="1"/>
    </xf>
    <xf numFmtId="164" fontId="14" fillId="2" borderId="1" applyAlignment="1" pivotButton="0" quotePrefix="0" xfId="0">
      <alignment horizontal="right" vertical="top"/>
    </xf>
    <xf numFmtId="0" fontId="15" fillId="6" borderId="0" applyAlignment="1" pivotButton="0" quotePrefix="0" xfId="0">
      <alignment horizontal="center" vertical="center" wrapText="1"/>
    </xf>
    <xf numFmtId="0" fontId="16" fillId="7" borderId="0" applyAlignment="1" pivotButton="0" quotePrefix="0" xfId="0">
      <alignment horizontal="center" vertical="center" wrapText="1"/>
    </xf>
    <xf numFmtId="0" fontId="17" fillId="7" borderId="0" applyAlignment="1" pivotButton="0" quotePrefix="0" xfId="0">
      <alignment horizontal="center" vertical="center" wrapText="1"/>
    </xf>
    <xf numFmtId="0" fontId="18" fillId="6" borderId="0" applyAlignment="1" pivotButton="0" quotePrefix="0" xfId="0">
      <alignment horizontal="center" vertical="center" wrapText="1"/>
    </xf>
    <xf numFmtId="0" fontId="19" fillId="7" borderId="0" applyAlignment="1" pivotButton="0" quotePrefix="0" xfId="0">
      <alignment horizontal="left" vertical="center" wrapText="1" indent="1"/>
    </xf>
    <xf numFmtId="0" fontId="19" fillId="7" borderId="0" applyAlignment="1" pivotButton="0" quotePrefix="0" xfId="0">
      <alignment horizontal="center" vertical="center" wrapText="1"/>
    </xf>
    <xf numFmtId="0" fontId="20" fillId="8" borderId="0" applyAlignment="1" pivotButton="0" quotePrefix="0" xfId="0">
      <alignment horizontal="center" vertical="center" wrapText="1"/>
    </xf>
    <xf numFmtId="0" fontId="21" fillId="7" borderId="0" applyAlignment="1" pivotButton="0" quotePrefix="0" xfId="0">
      <alignment horizontal="center" vertical="center" wrapText="1"/>
    </xf>
    <xf numFmtId="0" fontId="22" fillId="7" borderId="0" applyAlignment="1" pivotButton="0" quotePrefix="0" xfId="0">
      <alignment horizontal="center" vertical="center" wrapText="1"/>
    </xf>
    <xf numFmtId="0" fontId="23" fillId="7" borderId="0" applyAlignment="1" pivotButton="0" quotePrefix="0" xfId="0">
      <alignment horizontal="center" vertical="center" wrapText="1"/>
    </xf>
    <xf numFmtId="0" fontId="15" fillId="6" borderId="0" applyAlignment="1" pivotButton="0" quotePrefix="0" xfId="0">
      <alignment horizontal="center" vertical="center"/>
    </xf>
    <xf numFmtId="0" fontId="24" fillId="7" borderId="0" applyAlignment="1" pivotButton="0" quotePrefix="0" xfId="0">
      <alignment horizontal="center" vertical="center"/>
    </xf>
    <xf numFmtId="0" fontId="25" fillId="0" borderId="0" applyAlignment="1" pivotButton="0" quotePrefix="0" xfId="0">
      <alignment horizontal="center" vertical="center" wrapText="1"/>
    </xf>
    <xf numFmtId="0" fontId="26" fillId="6" borderId="0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 vertical="center"/>
    </xf>
    <xf numFmtId="0" fontId="27" fillId="9" borderId="0" applyAlignment="1" pivotButton="0" quotePrefix="0" xfId="0">
      <alignment horizontal="center" vertical="center"/>
    </xf>
    <xf numFmtId="0" fontId="21" fillId="7" borderId="0" applyAlignment="1" pivotButton="0" quotePrefix="0" xfId="0">
      <alignment horizontal="center" vertical="center"/>
    </xf>
    <xf numFmtId="0" fontId="28" fillId="7" borderId="0" applyAlignment="1" pivotButton="0" quotePrefix="0" xfId="0">
      <alignment horizontal="center" vertical="center"/>
    </xf>
    <xf numFmtId="0" fontId="29" fillId="7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aratelliinstitute.gumroad.com/l/isetaw" TargetMode="External" Id="rId1"/><Relationship Type="http://schemas.openxmlformats.org/officeDocument/2006/relationships/hyperlink" Target="https://baratelliinstitute.com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tabSelected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2" customHeight="1">
      <c r="A1" s="93" t="inlineStr">
        <is>
          <t>THE BARATELLI FINANCIAL MODELING TOOLKIT</t>
        </is>
      </c>
    </row>
    <row r="2" ht="22" customHeight="1">
      <c r="A2" s="94" t="inlineStr">
        <is>
          <t>Production templates for M&amp;A, valuation, PE, and 3-statement modeling</t>
        </is>
      </c>
    </row>
    <row r="3" ht="12" customHeight="1"/>
    <row r="4" ht="34" customHeight="1">
      <c r="A4" s="95" t="inlineStr">
        <is>
          <t>You are looking at one case study Excel model. The full Toolkit gives you the production templates blank-and-ready for YOUR own deals.</t>
        </is>
      </c>
    </row>
    <row r="5" ht="10" customHeight="1"/>
    <row r="6" ht="22" customHeight="1">
      <c r="A6" s="96" t="inlineStr">
        <is>
          <t>26 Excel templates + 50+ page methodology PDF</t>
        </is>
      </c>
    </row>
    <row r="7" ht="10" customHeight="1"/>
    <row r="8" ht="20" customHeight="1">
      <c r="A8" s="97" t="inlineStr">
        <is>
          <t>Built by CPAs, MBAs, and career practitioners</t>
        </is>
      </c>
    </row>
    <row r="9" ht="12" customHeight="1"/>
    <row r="10" ht="40" customHeight="1">
      <c r="A10" s="98" t="inlineStr">
        <is>
          <t>$99 USD</t>
        </is>
      </c>
    </row>
    <row r="11" ht="22" customHeight="1">
      <c r="A11" s="99" t="inlineStr">
        <is>
          <t>at gumroad.com/l/isetaw</t>
        </is>
      </c>
    </row>
    <row r="12" ht="10" customHeight="1"/>
    <row r="13" ht="18" customHeight="1">
      <c r="A13" s="100" t="inlineStr">
        <is>
          <t>Also available: £79 GBP · €89 EUR</t>
        </is>
      </c>
    </row>
    <row r="14" ht="10" customHeight="1"/>
    <row r="15" ht="20" customHeight="1">
      <c r="A15" s="100" t="inlineStr">
        <is>
          <t>Enterprise licensing available for firms. Contact enterprise@baratelliinstitute.com</t>
        </is>
      </c>
    </row>
    <row r="16" ht="10" customHeight="1"/>
    <row r="17" ht="20" customHeight="1">
      <c r="A17" s="101" t="inlineStr">
        <is>
          <t>baratelliinstitute.com</t>
        </is>
      </c>
    </row>
  </sheetData>
  <mergeCells count="10">
    <mergeCell ref="A2:F2"/>
    <mergeCell ref="A11:F11"/>
    <mergeCell ref="A10:F10"/>
    <mergeCell ref="A13:F13"/>
    <mergeCell ref="A1:F1"/>
    <mergeCell ref="A8:F8"/>
    <mergeCell ref="A6:F6"/>
    <mergeCell ref="A17:F17"/>
    <mergeCell ref="A4:F4"/>
    <mergeCell ref="A15:F15"/>
  </mergeCells>
  <hyperlinks>
    <hyperlink xmlns:r="http://schemas.openxmlformats.org/officeDocument/2006/relationships" ref="A11" r:id="rId1"/>
    <hyperlink xmlns:r="http://schemas.openxmlformats.org/officeDocument/2006/relationships" ref="A17" r:id="rId2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H21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24" customWidth="1" min="8" max="8"/>
  </cols>
  <sheetData>
    <row r="1">
      <c r="A1" s="1" t="inlineStr">
        <is>
          <t>VALUATION — Acquisition Price Scenarios</t>
        </is>
      </c>
    </row>
    <row r="2">
      <c r="A2" s="2" t="inlineStr">
        <is>
          <t>All in $ millions unless noted. Base: Yahoo Finance 7/2/26 close $30.01 · Market cap $27,784M · 925.8M shares (post-buyback).</t>
        </is>
      </c>
    </row>
    <row r="4">
      <c r="A4" s="4" t="inlineStr">
        <is>
          <t>TABLE 7 — ACQUISITION PRICE SCENARIOS</t>
        </is>
      </c>
    </row>
    <row r="5">
      <c r="B5" s="5" t="inlineStr">
        <is>
          <t>Scenario</t>
        </is>
      </c>
      <c r="C5" s="5" t="inlineStr">
        <is>
          <t>Price/share</t>
        </is>
      </c>
      <c r="D5" s="5" t="inlineStr">
        <is>
          <t>Market cap ($M)</t>
        </is>
      </c>
      <c r="E5" s="5" t="inlineStr">
        <is>
          <t>Premium (%)</t>
        </is>
      </c>
      <c r="F5" s="5" t="inlineStr">
        <is>
          <t>Implied P/E (on $1.61 TTM EPS)</t>
        </is>
      </c>
      <c r="G5" s="5" t="inlineStr">
        <is>
          <t>Payback (yrs, on ~$1,500M pro-forma FCF)</t>
        </is>
      </c>
      <c r="H5" s="5" t="inlineStr">
        <is>
          <t>Note</t>
        </is>
      </c>
    </row>
    <row r="6">
      <c r="B6" s="7" t="inlineStr">
        <is>
          <t>A · 1.00× (buy at market, no premium)</t>
        </is>
      </c>
      <c r="C6" s="62" t="n">
        <v>30.01</v>
      </c>
      <c r="D6" s="42" t="n">
        <v>27784</v>
      </c>
      <c r="E6" s="63" t="n">
        <v>0</v>
      </c>
      <c r="F6" s="64" t="n">
        <v>18.63975155279503</v>
      </c>
      <c r="G6" s="65" t="n">
        <v>18.52266666666667</v>
      </c>
      <c r="H6" s="34" t="inlineStr">
        <is>
          <t>10-K p. 29 + Yahoo 7/2</t>
        </is>
      </c>
    </row>
    <row r="7">
      <c r="B7" s="9" t="inlineStr">
        <is>
          <t>B · 1.15× (modest 15% premium)</t>
        </is>
      </c>
      <c r="C7" s="66" t="n">
        <v>34.5115</v>
      </c>
      <c r="D7" s="46" t="n">
        <v>31951</v>
      </c>
      <c r="E7" s="67" t="n">
        <v>0.1499999999999999</v>
      </c>
      <c r="F7" s="68" t="n">
        <v>21.43571428571428</v>
      </c>
      <c r="G7" s="69" t="n">
        <v>21.30106666666667</v>
      </c>
      <c r="H7" s="49" t="inlineStr">
        <is>
          <t>Practitioner mid-range</t>
        </is>
      </c>
    </row>
    <row r="8">
      <c r="B8" s="7" t="inlineStr">
        <is>
          <t>C · 1.30× (30% premium — closer to $41.20 analyst PT)</t>
        </is>
      </c>
      <c r="C8" s="62" t="n">
        <v>39.01300000000001</v>
      </c>
      <c r="D8" s="42" t="n">
        <v>36119</v>
      </c>
      <c r="E8" s="63" t="n">
        <v>0.3</v>
      </c>
      <c r="F8" s="64" t="n">
        <v>24.23167701863354</v>
      </c>
      <c r="G8" s="65" t="n">
        <v>24.07946666666667</v>
      </c>
      <c r="H8" s="34" t="inlineStr">
        <is>
          <t>Yahoo 1-yr analyst target</t>
        </is>
      </c>
    </row>
    <row r="9">
      <c r="B9" s="9" t="inlineStr">
        <is>
          <t>D · 1.40× (40% premium — Buffett-tier)</t>
        </is>
      </c>
      <c r="C9" s="66" t="n">
        <v>42.014</v>
      </c>
      <c r="D9" s="46" t="n">
        <v>38897</v>
      </c>
      <c r="E9" s="67" t="n">
        <v>0.3999999999999999</v>
      </c>
      <c r="F9" s="68" t="n">
        <v>26.09565217391305</v>
      </c>
      <c r="G9" s="69" t="n">
        <v>25.93173333333333</v>
      </c>
      <c r="H9" s="49" t="inlineStr">
        <is>
          <t>Wonderful-business premium (BNSF / PCC precedent)</t>
        </is>
      </c>
    </row>
    <row r="12">
      <c r="A12" s="4" t="inlineStr">
        <is>
          <t>BERKSHIRE HISTORICAL ACQUISITION COMPARABLES (context)</t>
        </is>
      </c>
    </row>
    <row r="13">
      <c r="B13" s="5" t="inlineStr">
        <is>
          <t>Acquisition</t>
        </is>
      </c>
      <c r="C13" s="5" t="inlineStr">
        <is>
          <t>Year</t>
        </is>
      </c>
      <c r="D13" s="5" t="inlineStr">
        <is>
          <t>Enterprise value ($M)</t>
        </is>
      </c>
      <c r="E13" s="5" t="inlineStr">
        <is>
          <t>vs. Scenario C ($36B)</t>
        </is>
      </c>
      <c r="F13" s="5" t="inlineStr">
        <is>
          <t>Note</t>
        </is>
      </c>
    </row>
    <row r="14">
      <c r="B14" s="25" t="inlineStr">
        <is>
          <t>BNSF</t>
        </is>
      </c>
      <c r="C14" s="70" t="n">
        <v>2009</v>
      </c>
      <c r="D14" s="71" t="n">
        <v>44000</v>
      </c>
      <c r="E14" s="72" t="n">
        <v>1.22</v>
      </c>
      <c r="F14" s="12" t="inlineStr">
        <is>
          <t>Largest Berkshire acquisition</t>
        </is>
      </c>
    </row>
    <row r="15">
      <c r="B15" s="25" t="inlineStr">
        <is>
          <t>Precision Castparts</t>
        </is>
      </c>
      <c r="C15" s="70" t="n">
        <v>2016</v>
      </c>
      <c r="D15" s="71" t="n">
        <v>37000</v>
      </c>
      <c r="E15" s="72" t="n">
        <v>1.03</v>
      </c>
      <c r="F15" s="12" t="inlineStr">
        <is>
          <t>Second largest</t>
        </is>
      </c>
    </row>
    <row r="16">
      <c r="B16" s="25" t="inlineStr">
        <is>
          <t>Copart Scenario C (hypothetical)</t>
        </is>
      </c>
      <c r="C16" s="70" t="n">
        <v>2026</v>
      </c>
      <c r="D16" s="71" t="n">
        <v>36119</v>
      </c>
      <c r="E16" s="72" t="n">
        <v>1</v>
      </c>
      <c r="F16" s="12" t="inlineStr">
        <is>
          <t>Would rank #3 in Berkshire history</t>
        </is>
      </c>
    </row>
    <row r="17">
      <c r="B17" s="25" t="inlineStr">
        <is>
          <t>Van Tuyl (Berkshire Auto)</t>
        </is>
      </c>
      <c r="C17" s="70" t="n">
        <v>2015</v>
      </c>
      <c r="D17" s="71" t="n">
        <v>3000</v>
      </c>
      <c r="E17" s="72" t="n">
        <v>0.08</v>
      </c>
      <c r="F17" s="12" t="inlineStr">
        <is>
          <t>Comparable smaller-scale acquisition</t>
        </is>
      </c>
    </row>
    <row r="18">
      <c r="B18" s="25" t="inlineStr">
        <is>
          <t>Marmon Group</t>
        </is>
      </c>
      <c r="C18" s="70" t="n">
        <v>2008</v>
      </c>
      <c r="D18" s="71" t="n">
        <v>4500</v>
      </c>
      <c r="E18" t="n">
        <v>0.12</v>
      </c>
      <c r="F18" s="12" t="inlineStr">
        <is>
          <t>Family-controlled operating conglomerate precedent</t>
        </is>
      </c>
    </row>
    <row r="21">
      <c r="A21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&amp;K3C3F45Valuation&amp;R&amp;8 &amp;KC89000BARATELLI INSTITUTE  *  MENTORING AT SCALE</oddHeader>
    <oddFooter>&amp;L&amp;8 &amp;K3C3F45baratelliinstitute.com&amp;C&amp;8 &amp;K3C3F45Page &amp;P of &amp;N&amp;R&amp;8 &amp;K3C3F45Copart Berkshire 2026</oddFooter>
    <evenHeader/>
    <evenFooter/>
    <firstHeader/>
    <firstFooter/>
  </headerFooter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E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6" customWidth="1" min="3" max="3"/>
    <col width="22" customWidth="1" min="4" max="4"/>
    <col width="40" customWidth="1" min="5" max="5"/>
  </cols>
  <sheetData>
    <row r="1">
      <c r="A1" s="1" t="inlineStr">
        <is>
          <t>ASSUMPTIONS — Every Driver Input, Tagged</t>
        </is>
      </c>
    </row>
    <row r="2">
      <c r="A2" s="2" t="inlineStr">
        <is>
          <t>VERIFIED = 10-K/10-Q filed; REPORTED = external public source; RECON = practitioner reconstruction.</t>
        </is>
      </c>
    </row>
    <row r="4">
      <c r="A4" s="4" t="inlineStr">
        <is>
          <t>ALL MODEL ASSUMPTIONS</t>
        </is>
      </c>
    </row>
    <row r="5">
      <c r="B5" s="5" t="inlineStr">
        <is>
          <t>Assumption</t>
        </is>
      </c>
      <c r="C5" s="5" t="inlineStr">
        <is>
          <t>Value</t>
        </is>
      </c>
      <c r="D5" s="5" t="inlineStr">
        <is>
          <t>Tag</t>
        </is>
      </c>
      <c r="E5" s="5" t="inlineStr">
        <is>
          <t>Source / Note</t>
        </is>
      </c>
    </row>
    <row r="6">
      <c r="B6" s="41" t="inlineStr">
        <is>
          <t>Copart FY2025 total revenues</t>
        </is>
      </c>
      <c r="C6" s="73" t="inlineStr">
        <is>
          <t>$4,647M</t>
        </is>
      </c>
      <c r="D6" s="74" t="inlineStr">
        <is>
          <t>VERIFIED</t>
        </is>
      </c>
      <c r="E6" s="34" t="inlineStr">
        <is>
          <t>10-K p. 55</t>
        </is>
      </c>
    </row>
    <row r="7">
      <c r="B7" s="45" t="inlineStr">
        <is>
          <t>Copart FY2025 service revenues</t>
        </is>
      </c>
      <c r="C7" s="75" t="inlineStr">
        <is>
          <t>$3,968.7M</t>
        </is>
      </c>
      <c r="D7" s="76" t="inlineStr">
        <is>
          <t>VERIFIED</t>
        </is>
      </c>
      <c r="E7" s="49" t="inlineStr">
        <is>
          <t>10-K p. 55</t>
        </is>
      </c>
    </row>
    <row r="8">
      <c r="B8" s="41" t="inlineStr">
        <is>
          <t>Copart FY2025 vehicle sales</t>
        </is>
      </c>
      <c r="C8" s="73" t="inlineStr">
        <is>
          <t>$678.3M</t>
        </is>
      </c>
      <c r="D8" s="74" t="inlineStr">
        <is>
          <t>VERIFIED</t>
        </is>
      </c>
      <c r="E8" s="34" t="inlineStr">
        <is>
          <t>10-K p. 55</t>
        </is>
      </c>
    </row>
    <row r="9">
      <c r="B9" s="45" t="inlineStr">
        <is>
          <t>Copart FY2025 operating income</t>
        </is>
      </c>
      <c r="C9" s="75" t="inlineStr">
        <is>
          <t>$1,696.7M</t>
        </is>
      </c>
      <c r="D9" s="76" t="inlineStr">
        <is>
          <t>VERIFIED</t>
        </is>
      </c>
      <c r="E9" s="49" t="inlineStr">
        <is>
          <t>10-K p. 55</t>
        </is>
      </c>
    </row>
    <row r="10">
      <c r="B10" s="41" t="inlineStr">
        <is>
          <t>Copart FY2025 operating margin</t>
        </is>
      </c>
      <c r="C10" s="73" t="inlineStr">
        <is>
          <t>36.5%</t>
        </is>
      </c>
      <c r="D10" s="77" t="inlineStr">
        <is>
          <t>RECON</t>
        </is>
      </c>
      <c r="E10" s="34" t="inlineStr">
        <is>
          <t>op inc ÷ revenue</t>
        </is>
      </c>
    </row>
    <row r="11">
      <c r="B11" s="45" t="inlineStr">
        <is>
          <t>Copart FY2025 net income</t>
        </is>
      </c>
      <c r="C11" s="75" t="inlineStr">
        <is>
          <t>$1,548.4M</t>
        </is>
      </c>
      <c r="D11" s="76" t="inlineStr">
        <is>
          <t>VERIFIED</t>
        </is>
      </c>
      <c r="E11" s="49" t="inlineStr">
        <is>
          <t>10-K p. 55</t>
        </is>
      </c>
    </row>
    <row r="12">
      <c r="B12" s="41" t="inlineStr">
        <is>
          <t>Copart FY2025 diluted EPS</t>
        </is>
      </c>
      <c r="C12" s="73" t="inlineStr">
        <is>
          <t>$1.59</t>
        </is>
      </c>
      <c r="D12" s="74" t="inlineStr">
        <is>
          <t>VERIFIED</t>
        </is>
      </c>
      <c r="E12" s="34" t="inlineStr">
        <is>
          <t>10-K p. 55</t>
        </is>
      </c>
    </row>
    <row r="13">
      <c r="B13" s="45" t="inlineStr">
        <is>
          <t>Cash + HTM Treasuries (7/31/25)</t>
        </is>
      </c>
      <c r="C13" s="75" t="inlineStr">
        <is>
          <t>$4,789M</t>
        </is>
      </c>
      <c r="D13" s="76" t="inlineStr">
        <is>
          <t>VERIFIED</t>
        </is>
      </c>
      <c r="E13" s="49" t="inlineStr">
        <is>
          <t>10-K p. 54</t>
        </is>
      </c>
    </row>
    <row r="14">
      <c r="B14" s="41" t="inlineStr">
        <is>
          <t>Long-term debt (7/31/25)</t>
        </is>
      </c>
      <c r="C14" s="73" t="inlineStr">
        <is>
          <t>$0</t>
        </is>
      </c>
      <c r="D14" s="74" t="inlineStr">
        <is>
          <t>VERIFIED</t>
        </is>
      </c>
      <c r="E14" s="34" t="inlineStr">
        <is>
          <t>10-K p. 71 Note 9</t>
        </is>
      </c>
    </row>
    <row r="15">
      <c r="B15" s="45" t="inlineStr">
        <is>
          <t>Owned land (7/31/25)</t>
        </is>
      </c>
      <c r="C15" s="75" t="inlineStr">
        <is>
          <t>$2,394.6M</t>
        </is>
      </c>
      <c r="D15" s="76" t="inlineStr">
        <is>
          <t>VERIFIED</t>
        </is>
      </c>
      <c r="E15" s="49" t="inlineStr">
        <is>
          <t>10-K p. 66 Note 4</t>
        </is>
      </c>
    </row>
    <row r="16">
      <c r="B16" s="41" t="inlineStr">
        <is>
          <t>Total operating facilities</t>
        </is>
      </c>
      <c r="C16" s="73" t="inlineStr">
        <is>
          <t>281</t>
        </is>
      </c>
      <c r="D16" s="74" t="inlineStr">
        <is>
          <t>VERIFIED</t>
        </is>
      </c>
      <c r="E16" s="34" t="inlineStr">
        <is>
          <t>10-K p. 28 Item 2</t>
        </is>
      </c>
    </row>
    <row r="17">
      <c r="B17" s="45" t="inlineStr">
        <is>
          <t>Employees</t>
        </is>
      </c>
      <c r="C17" s="75" t="inlineStr">
        <is>
          <t>~11,600</t>
        </is>
      </c>
      <c r="D17" s="76" t="inlineStr">
        <is>
          <t>VERIFIED</t>
        </is>
      </c>
      <c r="E17" s="49" t="inlineStr">
        <is>
          <t>10-K p. 12</t>
        </is>
      </c>
    </row>
    <row r="18">
      <c r="B18" s="41" t="inlineStr">
        <is>
          <t>% vehicles from insurance sellers</t>
        </is>
      </c>
      <c r="C18" s="73" t="inlineStr">
        <is>
          <t>81%</t>
        </is>
      </c>
      <c r="D18" s="74" t="inlineStr">
        <is>
          <t>VERIFIED</t>
        </is>
      </c>
      <c r="E18" s="34" t="inlineStr">
        <is>
          <t>10-K p. 11</t>
        </is>
      </c>
    </row>
    <row r="19">
      <c r="B19" s="45" t="inlineStr">
        <is>
          <t>Customer concentration (any single)</t>
        </is>
      </c>
      <c r="C19" s="75" t="inlineStr">
        <is>
          <t>&lt;10%</t>
        </is>
      </c>
      <c r="D19" s="76" t="inlineStr">
        <is>
          <t>VERIFIED</t>
        </is>
      </c>
      <c r="E19" s="49" t="inlineStr">
        <is>
          <t>10-K p. 11</t>
        </is>
      </c>
    </row>
    <row r="20">
      <c r="B20" s="41" t="inlineStr">
        <is>
          <t>Shares outstanding (7/31/25)</t>
        </is>
      </c>
      <c r="C20" s="73" t="inlineStr">
        <is>
          <t>967.5M</t>
        </is>
      </c>
      <c r="D20" s="74" t="inlineStr">
        <is>
          <t>VERIFIED</t>
        </is>
      </c>
      <c r="E20" s="34" t="inlineStr">
        <is>
          <t>10-K p. 29</t>
        </is>
      </c>
    </row>
    <row r="21">
      <c r="B21" s="45" t="inlineStr">
        <is>
          <t>Shares outstanding (4/30/26)</t>
        </is>
      </c>
      <c r="C21" s="75" t="inlineStr">
        <is>
          <t>925.8M</t>
        </is>
      </c>
      <c r="D21" s="76" t="inlineStr">
        <is>
          <t>VERIFIED</t>
        </is>
      </c>
      <c r="E21" s="49" t="inlineStr">
        <is>
          <t>10-Q p. 3</t>
        </is>
      </c>
    </row>
    <row r="22">
      <c r="B22" s="41" t="inlineStr">
        <is>
          <t>Stock price (7/2/26)</t>
        </is>
      </c>
      <c r="C22" s="73" t="inlineStr">
        <is>
          <t>$30.01</t>
        </is>
      </c>
      <c r="D22" s="78" t="inlineStr">
        <is>
          <t>REPORTED</t>
        </is>
      </c>
      <c r="E22" s="34" t="inlineStr">
        <is>
          <t>Yahoo Finance</t>
        </is>
      </c>
    </row>
    <row r="23">
      <c r="B23" s="45" t="inlineStr">
        <is>
          <t>Market cap (7/2/26)</t>
        </is>
      </c>
      <c r="C23" s="75" t="inlineStr">
        <is>
          <t>$27,784M</t>
        </is>
      </c>
      <c r="D23" s="79" t="inlineStr">
        <is>
          <t>REPORTED</t>
        </is>
      </c>
      <c r="E23" s="49" t="inlineStr">
        <is>
          <t>Yahoo Finance</t>
        </is>
      </c>
    </row>
    <row r="24">
      <c r="B24" s="41" t="inlineStr">
        <is>
          <t>TTM P/E</t>
        </is>
      </c>
      <c r="C24" s="73" t="inlineStr">
        <is>
          <t>18.64x</t>
        </is>
      </c>
      <c r="D24" s="78" t="inlineStr">
        <is>
          <t>REPORTED</t>
        </is>
      </c>
      <c r="E24" s="34" t="inlineStr">
        <is>
          <t>Yahoo Finance</t>
        </is>
      </c>
    </row>
    <row r="25">
      <c r="B25" s="45" t="inlineStr">
        <is>
          <t>1-year analyst PT</t>
        </is>
      </c>
      <c r="C25" s="75" t="inlineStr">
        <is>
          <t>$41.20</t>
        </is>
      </c>
      <c r="D25" s="79" t="inlineStr">
        <is>
          <t>REPORTED</t>
        </is>
      </c>
      <c r="E25" s="49" t="inlineStr">
        <is>
          <t>Yahoo Finance</t>
        </is>
      </c>
    </row>
    <row r="26">
      <c r="B26" s="41" t="inlineStr">
        <is>
          <t>GEICO US vehicles covered</t>
        </is>
      </c>
      <c r="C26" s="73" t="inlineStr">
        <is>
          <t>~27M</t>
        </is>
      </c>
      <c r="D26" s="78" t="inlineStr">
        <is>
          <t>REPORTED</t>
        </is>
      </c>
      <c r="E26" s="34" t="inlineStr">
        <is>
          <t>Berkshire 2024 annual report</t>
        </is>
      </c>
    </row>
    <row r="27">
      <c r="B27" s="45" t="inlineStr">
        <is>
          <t>Industry claim frequency</t>
        </is>
      </c>
      <c r="C27" s="75" t="inlineStr">
        <is>
          <t>~6%</t>
        </is>
      </c>
      <c r="D27" s="79" t="inlineStr">
        <is>
          <t>REPORTED</t>
        </is>
      </c>
      <c r="E27" s="49" t="inlineStr">
        <is>
          <t>III / NAIC</t>
        </is>
      </c>
    </row>
    <row r="28">
      <c r="B28" s="41" t="inlineStr">
        <is>
          <t>Total-loss share of claims</t>
        </is>
      </c>
      <c r="C28" s="73" t="inlineStr">
        <is>
          <t>~23%</t>
        </is>
      </c>
      <c r="D28" s="78" t="inlineStr">
        <is>
          <t>REPORTED</t>
        </is>
      </c>
      <c r="E28" s="34" t="inlineStr">
        <is>
          <t>CCC / Mitchell industry data</t>
        </is>
      </c>
    </row>
    <row r="29">
      <c r="B29" s="45" t="inlineStr">
        <is>
          <t>Copart share of GEICO total-loss volume</t>
        </is>
      </c>
      <c r="C29" s="75" t="inlineStr">
        <is>
          <t>~65%</t>
        </is>
      </c>
      <c r="D29" s="80" t="inlineStr">
        <is>
          <t>RECON</t>
        </is>
      </c>
      <c r="E29" s="49" t="inlineStr">
        <is>
          <t>Practitioner estimate</t>
        </is>
      </c>
    </row>
    <row r="30">
      <c r="B30" s="41" t="inlineStr">
        <is>
          <t>Aggregate Copart fee per vehicle</t>
        </is>
      </c>
      <c r="C30" s="73" t="inlineStr">
        <is>
          <t>~$1,250</t>
        </is>
      </c>
      <c r="D30" s="77" t="inlineStr">
        <is>
          <t>RECON</t>
        </is>
      </c>
      <c r="E30" s="34" t="inlineStr">
        <is>
          <t>Service revenue ÷ implied unit volume</t>
        </is>
      </c>
    </row>
    <row r="31">
      <c r="B31" s="45" t="inlineStr">
        <is>
          <t>Copart op income per vehicle</t>
        </is>
      </c>
      <c r="C31" s="75" t="inlineStr">
        <is>
          <t>~$438</t>
        </is>
      </c>
      <c r="D31" s="80" t="inlineStr">
        <is>
          <t>RECON</t>
        </is>
      </c>
      <c r="E31" s="49" t="inlineStr">
        <is>
          <t>Aggregate × op margin</t>
        </is>
      </c>
    </row>
    <row r="32">
      <c r="B32" s="41" t="inlineStr">
        <is>
          <t>GEICO integration transfer value</t>
        </is>
      </c>
      <c r="C32" s="73" t="inlineStr">
        <is>
          <t>$135M/yr</t>
        </is>
      </c>
      <c r="D32" s="77" t="inlineStr">
        <is>
          <t>RECON</t>
        </is>
      </c>
      <c r="E32" s="34" t="inlineStr">
        <is>
          <t>Case Section 5, Table 5C</t>
        </is>
      </c>
    </row>
    <row r="33">
      <c r="B33" s="45" t="inlineStr">
        <is>
          <t>International deployment</t>
        </is>
      </c>
      <c r="C33" s="75" t="inlineStr">
        <is>
          <t>$500M/yr</t>
        </is>
      </c>
      <c r="D33" s="80" t="inlineStr">
        <is>
          <t>RECON</t>
        </is>
      </c>
      <c r="E33" s="49" t="inlineStr">
        <is>
          <t>Practitioner assumption</t>
        </is>
      </c>
    </row>
    <row r="34">
      <c r="B34" s="41" t="inlineStr">
        <is>
          <t>International target ROIC</t>
        </is>
      </c>
      <c r="C34" s="73" t="inlineStr">
        <is>
          <t>15%</t>
        </is>
      </c>
      <c r="D34" s="77" t="inlineStr">
        <is>
          <t>RECON</t>
        </is>
      </c>
      <c r="E34" s="34" t="inlineStr">
        <is>
          <t>Practitioner assumption</t>
        </is>
      </c>
    </row>
    <row r="35">
      <c r="B35" s="45" t="n"/>
      <c r="C35" s="75" t="n"/>
      <c r="D35" s="80" t="n"/>
      <c r="E35" s="49" t="n"/>
    </row>
    <row r="36">
      <c r="B36" s="41" t="inlineStr">
        <is>
          <t>Average sale price per yard</t>
        </is>
      </c>
      <c r="C36" s="73" t="inlineStr">
        <is>
          <t>$25M</t>
        </is>
      </c>
      <c r="D36" s="77" t="inlineStr">
        <is>
          <t>RECON</t>
        </is>
      </c>
      <c r="E36" s="34" t="inlineStr">
        <is>
          <t>Practitioner assumption</t>
        </is>
      </c>
    </row>
    <row r="37">
      <c r="B37" s="45" t="n"/>
      <c r="C37" s="75" t="n"/>
      <c r="D37" s="80" t="n"/>
      <c r="E37" s="49" t="n"/>
    </row>
    <row r="38">
      <c r="B38" s="41" t="inlineStr">
        <is>
          <t>Freed capital redeployment ROIC</t>
        </is>
      </c>
      <c r="C38" s="73" t="inlineStr">
        <is>
          <t>12%</t>
        </is>
      </c>
      <c r="D38" s="77" t="inlineStr">
        <is>
          <t>RECON</t>
        </is>
      </c>
      <c r="E38" s="34" t="inlineStr">
        <is>
          <t>Berkshire operating-sub benchmark</t>
        </is>
      </c>
    </row>
    <row r="39">
      <c r="B39" s="45" t="inlineStr">
        <is>
          <t>Non-GEICO carrier defection central case</t>
        </is>
      </c>
      <c r="C39" s="75" t="inlineStr">
        <is>
          <t>10% erosion</t>
        </is>
      </c>
      <c r="D39" s="80" t="inlineStr">
        <is>
          <t>RECON</t>
        </is>
      </c>
      <c r="E39" s="49" t="inlineStr">
        <is>
          <t>Case Section 8A</t>
        </is>
      </c>
    </row>
    <row r="42">
      <c r="A42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&amp;K3C3F45Assumptions&amp;R&amp;8 &amp;KC89000BARATELLI INSTITUTE  *  MENTORING AT SCALE</oddHeader>
    <oddFooter>&amp;L&amp;8 &amp;K3C3F45baratelliinstitute.com&amp;C&amp;8 &amp;K3C3F45Page &amp;P of &amp;N&amp;R&amp;8 &amp;K3C3F45Copart Berkshire 2026</oddFooter>
    <evenHeader/>
    <evenFooter/>
    <firstHeader/>
    <firstFooter/>
  </headerFooter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A1:C1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0" customWidth="1" min="2" max="2"/>
    <col width="60" customWidth="1" min="3" max="3"/>
  </cols>
  <sheetData>
    <row r="1">
      <c r="A1" s="1" t="inlineStr">
        <is>
          <t>PRIMARY SOURCES — 10-K, 10-Q, Market Data</t>
        </is>
      </c>
    </row>
    <row r="2">
      <c r="A2" s="2" t="inlineStr">
        <is>
          <t>Full citation record for every VERIFIED and REPORTED tag in this model.</t>
        </is>
      </c>
    </row>
    <row r="4">
      <c r="A4" s="4" t="inlineStr">
        <is>
          <t>PRIMARY SOURCES</t>
        </is>
      </c>
    </row>
    <row r="5">
      <c r="B5" s="5" t="inlineStr">
        <is>
          <t>Source</t>
        </is>
      </c>
      <c r="C5" s="5" t="inlineStr">
        <is>
          <t>Coverage</t>
        </is>
      </c>
    </row>
    <row r="6" ht="60" customHeight="1">
      <c r="B6" s="19" t="inlineStr">
        <is>
          <t>Copart, Inc. Form 10-K, fiscal year ended July 31, 2025</t>
        </is>
      </c>
      <c r="C6" s="7" t="inlineStr">
        <is>
          <t>Filed September 26, 2025 with the SEC. Auditor: Ernst &amp; Young LLP (PCAOB ID 42). Primary sections used: Item 1 Business (p. 3–14); Item 2 Properties (p. 28); Item 5 Market Info (p. 29); Item 7 MD&amp;A (p. 31–40); Item 8 Financial Statements (p. 41–83) — Consolidated Balance Sheets p. 54; Consolidated Statements of Income p. 55; Cash Flows p. 58; Note 4 PP&amp;E p. 66; Note 9 Long-Term Debt p. 71; Note 14 Segments p. 80.</t>
        </is>
      </c>
    </row>
    <row r="7" ht="60" customHeight="1">
      <c r="B7" s="22" t="inlineStr">
        <is>
          <t>Copart, Inc. Form 10-Q, quarterly period ended April 30, 2026</t>
        </is>
      </c>
      <c r="C7" s="9" t="inlineStr">
        <is>
          <t>Third-quarter fiscal 2026 report. Balance sheet p. 3; statements of income p. 4; equity roll-forward showing Q2 &amp; Q3 FY2026 share repurchases totaling ~43.4M shares / ~$1.65B p. 6; MD&amp;A p. 16–21.</t>
        </is>
      </c>
    </row>
    <row r="8" ht="60" customHeight="1">
      <c r="B8" s="19" t="inlineStr">
        <is>
          <t>Yahoo Finance market quote (2026-07-02)</t>
        </is>
      </c>
      <c r="C8" s="7" t="inlineStr">
        <is>
          <t>CPRT closing price $30.01 (+4.24%); Market cap $27.784B; TTM P/E 18.64; TTM EPS $1.61; 52-week range $27.85–$50.11; Beta 1.00; 1-year analyst target $41.20; Day volume 14.7M vs. average 10.4M.</t>
        </is>
      </c>
    </row>
    <row r="9" ht="60" customHeight="1">
      <c r="B9" s="22" t="inlineStr">
        <is>
          <t>Berkshire Hathaway 2024 Annual Report</t>
        </is>
      </c>
      <c r="C9" s="9" t="inlineStr">
        <is>
          <t>GEICO US vehicles covered (~27M); Berkshire Hathaway Automotive dealer group scope (Van Tuyl); GEICO's role in Berkshire consolidated segment reporting.</t>
        </is>
      </c>
    </row>
    <row r="10" ht="60" customHeight="1">
      <c r="B10" s="19" t="inlineStr">
        <is>
          <t>NAIC 2024 / 2025 Market Share Data</t>
        </is>
      </c>
      <c r="C10" s="7" t="inlineStr">
        <is>
          <t>US private-passenger auto insurance carrier share rankings: State Farm ~18%, GEICO ~14%, Progressive ~15%, Allstate ~10%, USAA ~7%.</t>
        </is>
      </c>
    </row>
    <row r="11" ht="60" customHeight="1">
      <c r="B11" s="22" t="inlineStr">
        <is>
          <t>Industry data — III, ARA, CCC, Mitchell, Manheim MMR</t>
        </is>
      </c>
      <c r="C11" s="9" t="inlineStr">
        <is>
          <t>Claim frequency (~6%); total-loss share of collision claims (~23%); replacement-vehicle-day industry benchmarks; wholesale-to-retail spread benchmarks.</t>
        </is>
      </c>
    </row>
    <row r="12" ht="60" customHeight="1">
      <c r="B12" s="19" t="inlineStr">
        <is>
          <t>Copart proxy statements</t>
        </is>
      </c>
      <c r="C12" s="7" t="inlineStr">
        <is>
          <t>Founder-family control disclosures; Willis Johnson family ownership; Jay Adair CEO returning; board composition.</t>
        </is>
      </c>
    </row>
    <row r="15">
      <c r="A15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&amp;K3C3F45Sources&amp;R&amp;8 &amp;KC89000BARATELLI INSTITUTE  *  MENTORING AT SCALE</oddHeader>
    <oddFooter>&amp;L&amp;8 &amp;K3C3F45baratelliinstitute.com&amp;C&amp;8 &amp;K3C3F45Page &amp;P of &amp;N&amp;R&amp;8 &amp;K3C3F45Copart Berkshire 2026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C28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14" customWidth="1" min="4" max="4"/>
  </cols>
  <sheetData>
    <row r="1">
      <c r="A1" s="1" t="inlineStr">
        <is>
          <t>COPART + BERKSHIRE — HYPOTHETICAL ACQUISITION MODEL</t>
        </is>
      </c>
    </row>
    <row r="2">
      <c r="A2" s="2" t="inlineStr">
        <is>
          <t>Financial model · two-driver value creation · sensitivity · Baratelli Institute</t>
        </is>
      </c>
    </row>
    <row r="3">
      <c r="A3" s="3" t="inlineStr">
        <is>
          <t>HYPOTHETICAL — Not investment advice. Not a rumor. Educational practitioner case study.</t>
        </is>
      </c>
    </row>
    <row r="5">
      <c r="A5" s="4" t="inlineStr">
        <is>
          <t>MODEL CONTENTS</t>
        </is>
      </c>
    </row>
    <row r="6">
      <c r="B6" s="5" t="inlineStr">
        <is>
          <t>Tab</t>
        </is>
      </c>
      <c r="C6" s="5" t="inlineStr">
        <is>
          <t>Description</t>
        </is>
      </c>
    </row>
    <row r="7">
      <c r="B7" s="6" t="inlineStr">
        <is>
          <t>Cover</t>
        </is>
      </c>
      <c r="C7" s="7" t="inlineStr">
        <is>
          <t>This page. Navigation, disclaimer, table of contents.</t>
        </is>
      </c>
    </row>
    <row r="8">
      <c r="B8" s="8" t="inlineStr">
        <is>
          <t>Baseline_FY25</t>
        </is>
      </c>
      <c r="C8" s="9" t="inlineStr">
        <is>
          <t>Copart FY2025 baseline P&amp;L from the 10-K (fiscal year ended 7/31/2025). Every cell page-cited.</t>
        </is>
      </c>
    </row>
    <row r="9">
      <c r="B9" s="6" t="inlineStr">
        <is>
          <t>Balance_Sheet</t>
        </is>
      </c>
      <c r="C9" s="7" t="inlineStr">
        <is>
          <t>Fortress balance sheet — cash, HTM Treasuries, land, PP&amp;E, and the zero-debt anchor from Note 9.</t>
        </is>
      </c>
    </row>
    <row r="10">
      <c r="B10" s="8" t="inlineStr">
        <is>
          <t>Driver1_GEICO</t>
        </is>
      </c>
      <c r="C10" s="9" t="inlineStr">
        <is>
          <t>GEICO integration margin capture. Total-loss volume × Copart per-vehicle op income = internal transfer value.</t>
        </is>
      </c>
    </row>
    <row r="11">
      <c r="B11" s="6" t="inlineStr">
        <is>
          <t>Driver2_International</t>
        </is>
      </c>
      <c r="C11" s="7" t="inlineStr">
        <is>
          <t>International consolidation at Berkshire capital cost. Yard acquisitions × ROIC × ramp = mature-year lift.</t>
        </is>
      </c>
    </row>
    <row r="12">
      <c r="B12" s="8" t="n"/>
      <c r="C12" s="9" t="n"/>
    </row>
    <row r="13">
      <c r="B13" s="6" t="inlineStr">
        <is>
          <t>ProForma_Y2</t>
        </is>
      </c>
      <c r="C13" s="7" t="inlineStr">
        <is>
          <t>Table 16 pro-forma — baseline plus two drivers = combined value creation.</t>
        </is>
      </c>
    </row>
    <row r="14">
      <c r="B14" s="8" t="inlineStr">
        <is>
          <t>Intrinsic_Value</t>
        </is>
      </c>
      <c r="C14" s="9" t="inlineStr">
        <is>
          <t>Absolute-dollar sum-of-the-parts intrinsic value: owner earnings capitalized, real-estate at market, cash + Treasuries at face. Compared to current market cap. No multiples.</t>
        </is>
      </c>
    </row>
    <row r="15">
      <c r="B15" s="6" t="inlineStr">
        <is>
          <t>Sensitivity</t>
        </is>
      </c>
      <c r="C15" s="7" t="inlineStr">
        <is>
          <t>Three 3×3 sensitivity grids: one per driver (GEICO share × fee; yards × ROIC; yards × cap rate).</t>
        </is>
      </c>
    </row>
    <row r="16">
      <c r="B16" s="8" t="inlineStr">
        <is>
          <t>Valuation</t>
        </is>
      </c>
      <c r="C16" s="9" t="inlineStr">
        <is>
          <t>Purchase-price scenarios: implied P/E, payback vs. pro-forma FCF.</t>
        </is>
      </c>
    </row>
    <row r="17">
      <c r="B17" s="6" t="inlineStr">
        <is>
          <t>Assumptions</t>
        </is>
      </c>
      <c r="C17" s="7" t="inlineStr">
        <is>
          <t>Every driver assumption with source or practitioner-assumption tag.</t>
        </is>
      </c>
    </row>
    <row r="18">
      <c r="B18" s="8" t="inlineStr">
        <is>
          <t>Sources</t>
        </is>
      </c>
      <c r="C18" s="9" t="inlineStr">
        <is>
          <t>Primary sources — 10-K page cites, 10-Q references, Yahoo Finance market data.</t>
        </is>
      </c>
    </row>
    <row r="21">
      <c r="A21" s="4" t="n"/>
    </row>
    <row r="22" ht="34" customHeight="1">
      <c r="B22" s="10" t="n"/>
    </row>
    <row r="24">
      <c r="A24" s="4" t="inlineStr">
        <is>
          <t>THE MATH IN ONE LINE</t>
        </is>
      </c>
    </row>
    <row r="25">
      <c r="B25" s="11" t="inlineStr">
        <is>
          <t>Market cap $27.8B · Combined driver value +$245M/yr · Recommended Scenario B ~$32B EV; BNSF / Precision Castparts precedents apply</t>
        </is>
      </c>
    </row>
    <row r="28">
      <c r="A28" s="12" t="inlineStr">
        <is>
          <t>HYPOTHETICAL — Not investment advice. Not a rumor. Educational practitioner case study. Baratelli Institute · 2026-07-02.</t>
        </is>
      </c>
    </row>
  </sheetData>
  <mergeCells count="2">
    <mergeCell ref="B25:C25"/>
    <mergeCell ref="B22:C22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&amp;K3C3F45Cover&amp;R&amp;8 &amp;KC89000BARATELLI INSTITUTE  *  MENTORING AT SCALE</oddHeader>
    <oddFooter>&amp;L&amp;8 &amp;K3C3F45baratelliinstitute.com&amp;C&amp;8 &amp;K3C3F45Page &amp;P of &amp;N&amp;R&amp;8 &amp;K3C3F45Copart Berkshire 2026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G3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4" customWidth="1" min="3" max="3"/>
    <col width="14" customWidth="1" min="4" max="4"/>
    <col width="14" customWidth="1" min="5" max="5"/>
    <col width="14" customWidth="1" min="6" max="6"/>
    <col width="28" customWidth="1" min="7" max="7"/>
  </cols>
  <sheetData>
    <row r="1">
      <c r="A1" s="1" t="inlineStr">
        <is>
          <t>COPART FY2025 BASELINE — Consolidated P&amp;L Trend (FY23–FY25)</t>
        </is>
      </c>
    </row>
    <row r="2">
      <c r="A2" s="2" t="inlineStr">
        <is>
          <t>All amounts $ millions. Source: Copart Form 10-K, fiscal year ended July 31, 2025. Filed 9/26/2025.</t>
        </is>
      </c>
    </row>
    <row r="4">
      <c r="A4" s="4" t="inlineStr">
        <is>
          <t>TABLE 2B — CONSOLIDATED REVENUE AND PROFITABILITY TREND</t>
        </is>
      </c>
    </row>
    <row r="5">
      <c r="B5" s="5" t="inlineStr">
        <is>
          <t>Line item ($M)</t>
        </is>
      </c>
      <c r="C5" s="5" t="inlineStr">
        <is>
          <t>FY2023</t>
        </is>
      </c>
      <c r="D5" s="5" t="inlineStr">
        <is>
          <t>FY2024</t>
        </is>
      </c>
      <c r="E5" s="5" t="inlineStr">
        <is>
          <t>FY2025</t>
        </is>
      </c>
      <c r="F5" s="5" t="inlineStr">
        <is>
          <t>Δ FY24→FY25 (%)</t>
        </is>
      </c>
      <c r="G5" s="5" t="inlineStr">
        <is>
          <t>10-K page cite</t>
        </is>
      </c>
    </row>
    <row r="6">
      <c r="B6" s="7" t="inlineStr">
        <is>
          <t>Service revenues</t>
        </is>
      </c>
      <c r="C6" s="13" t="n">
        <v>3198.1</v>
      </c>
      <c r="D6" s="13" t="n">
        <v>3561</v>
      </c>
      <c r="E6" s="13" t="n">
        <v>3968.7</v>
      </c>
      <c r="F6" s="14">
        <f>IF(D6=0,"—",(E6-D6)/ABS(D6))</f>
        <v/>
      </c>
      <c r="G6" s="15" t="inlineStr">
        <is>
          <t>10-K p. 55</t>
        </is>
      </c>
    </row>
    <row r="7">
      <c r="B7" s="9" t="inlineStr">
        <is>
          <t>Vehicle sales</t>
        </is>
      </c>
      <c r="C7" s="16" t="n">
        <v>671.4</v>
      </c>
      <c r="D7" s="16" t="n">
        <v>675.8</v>
      </c>
      <c r="E7" s="16" t="n">
        <v>678.3</v>
      </c>
      <c r="F7" s="17">
        <f>IF(D7=0,"—",(E7-D7)/ABS(D7))</f>
        <v/>
      </c>
      <c r="G7" s="18" t="inlineStr">
        <is>
          <t>10-K p. 55</t>
        </is>
      </c>
    </row>
    <row r="8">
      <c r="B8" s="19" t="inlineStr">
        <is>
          <t>Total revenues</t>
        </is>
      </c>
      <c r="C8" s="20" t="n">
        <v>3869.5</v>
      </c>
      <c r="D8" s="20" t="n">
        <v>4236.8</v>
      </c>
      <c r="E8" s="20" t="n">
        <v>4647</v>
      </c>
      <c r="F8" s="21">
        <f>IF(D8=0,"—",(E8-D8)/ABS(D8))</f>
        <v/>
      </c>
      <c r="G8" s="15" t="inlineStr">
        <is>
          <t>10-K p. 55</t>
        </is>
      </c>
    </row>
    <row r="9">
      <c r="B9" s="9" t="inlineStr">
        <is>
          <t>Facility operations expense</t>
        </is>
      </c>
      <c r="C9" s="16" t="n">
        <v>-1518</v>
      </c>
      <c r="D9" s="16" t="n">
        <v>-1710.1</v>
      </c>
      <c r="E9" s="16" t="n">
        <v>-1944.3</v>
      </c>
      <c r="F9" s="17">
        <f>IF(D9=0,"—",(E9-D9)/ABS(D9))</f>
        <v/>
      </c>
      <c r="G9" s="18" t="inlineStr">
        <is>
          <t>10-K p. 55</t>
        </is>
      </c>
    </row>
    <row r="10">
      <c r="B10" s="7" t="inlineStr">
        <is>
          <t>Cost of vehicle sales</t>
        </is>
      </c>
      <c r="C10" s="13" t="n">
        <v>-614.5</v>
      </c>
      <c r="D10" s="13" t="n">
        <v>-619.5</v>
      </c>
      <c r="E10" s="13" t="n">
        <v>-603</v>
      </c>
      <c r="F10" s="14">
        <f>IF(D10=0,"—",(E10-D10)/ABS(D10))</f>
        <v/>
      </c>
      <c r="G10" s="15" t="inlineStr">
        <is>
          <t>10-K p. 55</t>
        </is>
      </c>
    </row>
    <row r="11">
      <c r="B11" s="9" t="inlineStr">
        <is>
          <t>General and administrative</t>
        </is>
      </c>
      <c r="C11" s="16" t="n">
        <v>-250.4</v>
      </c>
      <c r="D11" s="16" t="n">
        <v>-335.2</v>
      </c>
      <c r="E11" s="16" t="n">
        <v>-402.9</v>
      </c>
      <c r="F11" s="17">
        <f>IF(D11=0,"—",(E11-D11)/ABS(D11))</f>
        <v/>
      </c>
      <c r="G11" s="18" t="inlineStr">
        <is>
          <t>10-K p. 55</t>
        </is>
      </c>
    </row>
    <row r="12">
      <c r="B12" s="19" t="inlineStr">
        <is>
          <t>Total operating expenses</t>
        </is>
      </c>
      <c r="C12" s="20" t="n">
        <v>-2383</v>
      </c>
      <c r="D12" s="20" t="n">
        <v>-2664.8</v>
      </c>
      <c r="E12" s="20" t="n">
        <v>-2950.2</v>
      </c>
      <c r="F12" s="21">
        <f>IF(D12=0,"—",(E12-D12)/ABS(D12))</f>
        <v/>
      </c>
      <c r="G12" s="15" t="inlineStr">
        <is>
          <t>10-K p. 55</t>
        </is>
      </c>
    </row>
    <row r="13">
      <c r="B13" s="22" t="inlineStr">
        <is>
          <t>Operating income</t>
        </is>
      </c>
      <c r="C13" s="23" t="n">
        <v>1486.6</v>
      </c>
      <c r="D13" s="23" t="n">
        <v>1572</v>
      </c>
      <c r="E13" s="23" t="n">
        <v>1696.7</v>
      </c>
      <c r="F13" s="24">
        <f>IF(D13=0,"—",(E13-D13)/ABS(D13))</f>
        <v/>
      </c>
      <c r="G13" s="18" t="inlineStr">
        <is>
          <t>10-K p. 55</t>
        </is>
      </c>
    </row>
    <row r="14">
      <c r="B14" s="7" t="inlineStr">
        <is>
          <t>Interest income, net</t>
        </is>
      </c>
      <c r="C14" s="13" t="n">
        <v>65.90000000000001</v>
      </c>
      <c r="D14" s="13" t="n">
        <v>145.7</v>
      </c>
      <c r="E14" s="13" t="n">
        <v>178.9</v>
      </c>
      <c r="F14" s="14">
        <f>IF(D14=0,"—",(E14-D14)/ABS(D14))</f>
        <v/>
      </c>
      <c r="G14" s="15" t="inlineStr">
        <is>
          <t>10-K p. 55</t>
        </is>
      </c>
    </row>
    <row r="15">
      <c r="B15" s="22" t="inlineStr">
        <is>
          <t>Income before income taxes</t>
        </is>
      </c>
      <c r="C15" s="23" t="n">
        <v>1554.3</v>
      </c>
      <c r="D15" s="23" t="n">
        <v>1714.6</v>
      </c>
      <c r="E15" s="23" t="n">
        <v>1895.6</v>
      </c>
      <c r="F15" s="24">
        <f>IF(D15=0,"—",(E15-D15)/ABS(D15))</f>
        <v/>
      </c>
      <c r="G15" s="18" t="inlineStr">
        <is>
          <t>10-K p. 55</t>
        </is>
      </c>
    </row>
    <row r="16">
      <c r="B16" s="7" t="inlineStr">
        <is>
          <t>Income tax expense</t>
        </is>
      </c>
      <c r="C16" s="13" t="n">
        <v>-316.6</v>
      </c>
      <c r="D16" s="13" t="n">
        <v>-352.3</v>
      </c>
      <c r="E16" s="13" t="n">
        <v>-347.2</v>
      </c>
      <c r="F16" s="14">
        <f>IF(D16=0,"—",(E16-D16)/ABS(D16))</f>
        <v/>
      </c>
      <c r="G16" s="15" t="inlineStr">
        <is>
          <t>10-K p. 55</t>
        </is>
      </c>
    </row>
    <row r="17">
      <c r="B17" s="22" t="inlineStr">
        <is>
          <t>Net income</t>
        </is>
      </c>
      <c r="C17" s="23" t="n">
        <v>1237.7</v>
      </c>
      <c r="D17" s="23" t="n">
        <v>1362.3</v>
      </c>
      <c r="E17" s="23" t="n">
        <v>1548.4</v>
      </c>
      <c r="F17" s="24">
        <f>IF(D17=0,"—",(E17-D17)/ABS(D17))</f>
        <v/>
      </c>
      <c r="G17" s="18" t="inlineStr">
        <is>
          <t>10-K p. 55</t>
        </is>
      </c>
    </row>
    <row r="19">
      <c r="B19" s="11" t="inlineStr">
        <is>
          <t>Key operational anchors (FY2025):</t>
        </is>
      </c>
    </row>
    <row r="20">
      <c r="B20" s="25" t="inlineStr">
        <is>
          <t>Operating margin</t>
        </is>
      </c>
      <c r="C20" s="26" t="n">
        <v>0.365</v>
      </c>
      <c r="G20" s="27" t="inlineStr">
        <is>
          <t>10-K p. 55; op inc / revenue</t>
        </is>
      </c>
    </row>
    <row r="21">
      <c r="B21" s="25" t="inlineStr">
        <is>
          <t>Service revenue mix</t>
        </is>
      </c>
      <c r="C21" s="26" t="n">
        <v>0.854</v>
      </c>
      <c r="G21" s="27" t="inlineStr">
        <is>
          <t>10-K p. 34; service / total revenue</t>
        </is>
      </c>
    </row>
    <row r="22">
      <c r="B22" s="25" t="inlineStr">
        <is>
          <t>International revenue share</t>
        </is>
      </c>
      <c r="C22" s="26" t="n">
        <v>0.17</v>
      </c>
      <c r="G22" s="27" t="inlineStr">
        <is>
          <t>10-K p. 80, Segment reporting</t>
        </is>
      </c>
    </row>
    <row r="23">
      <c r="B23" s="25" t="inlineStr">
        <is>
          <t>International op inc share</t>
        </is>
      </c>
      <c r="C23" s="26" t="n">
        <v>0.127</v>
      </c>
      <c r="G23" s="27" t="inlineStr">
        <is>
          <t>10-K p. 80, Segment reporting</t>
        </is>
      </c>
    </row>
    <row r="24">
      <c r="B24" s="25" t="inlineStr">
        <is>
          <t>US operating margin</t>
        </is>
      </c>
      <c r="C24" s="26" t="n">
        <v>0.384</v>
      </c>
      <c r="G24" s="27" t="inlineStr">
        <is>
          <t>10-K p. 80</t>
        </is>
      </c>
    </row>
    <row r="25">
      <c r="B25" s="25" t="inlineStr">
        <is>
          <t>International operating margin</t>
        </is>
      </c>
      <c r="C25" s="26" t="n">
        <v>0.273</v>
      </c>
      <c r="G25" s="27" t="inlineStr">
        <is>
          <t>10-K p. 80</t>
        </is>
      </c>
    </row>
    <row r="26">
      <c r="B26" s="25" t="inlineStr">
        <is>
          <t>Total operating facilities</t>
        </is>
      </c>
      <c r="C26" s="28" t="n">
        <v>281</v>
      </c>
      <c r="G26" s="27" t="inlineStr">
        <is>
          <t>10-K p. 28, Item 2 Properties</t>
        </is>
      </c>
    </row>
    <row r="27">
      <c r="B27" s="25" t="inlineStr">
        <is>
          <t>Full &amp; part-time employees</t>
        </is>
      </c>
      <c r="C27" s="28" t="n">
        <v>11600</v>
      </c>
      <c r="G27" s="27" t="inlineStr">
        <is>
          <t>10-K p. 12</t>
        </is>
      </c>
    </row>
    <row r="28">
      <c r="B28" s="25" t="inlineStr">
        <is>
          <t>% vehicles from insurance sellers</t>
        </is>
      </c>
      <c r="C28" s="26" t="n">
        <v>0.8100000000000001</v>
      </c>
      <c r="G28" s="27" t="inlineStr">
        <is>
          <t>10-K p. 11</t>
        </is>
      </c>
    </row>
    <row r="29">
      <c r="B29" s="25" t="inlineStr">
        <is>
          <t>Registered members (buyers)</t>
        </is>
      </c>
      <c r="C29" s="28" t="n">
        <v>1000000</v>
      </c>
      <c r="G29" s="27" t="inlineStr">
        <is>
          <t>10-K p. 11 (~1 million)</t>
        </is>
      </c>
    </row>
    <row r="32">
      <c r="A32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&amp;K3C3F45Baseline_FY25&amp;R&amp;8 &amp;KC89000BARATELLI INSTITUTE  *  MENTORING AT SCALE</oddHeader>
    <oddFooter>&amp;L&amp;8 &amp;K3C3F45baratelliinstitute.com&amp;C&amp;8 &amp;K3C3F45Page &amp;P of &amp;N&amp;R&amp;8 &amp;K3C3F45Copart Berkshire 2026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6" customWidth="1" min="3" max="3"/>
    <col width="16" customWidth="1" min="4" max="4"/>
    <col width="32" customWidth="1" min="5" max="5"/>
  </cols>
  <sheetData>
    <row r="1">
      <c r="A1" s="1" t="inlineStr">
        <is>
          <t>COPART FORTRESS BALANCE SHEET — Zero-Debt, Cash-Heavy, Land-Anchored</t>
        </is>
      </c>
    </row>
    <row r="2">
      <c r="A2" s="2" t="inlineStr">
        <is>
          <t>All amounts $ millions. Source: Copart 10-K balance sheet (p. 54) + Note 4 PP&amp;E (p. 66) + Note 9 debt (p. 71).</t>
        </is>
      </c>
    </row>
    <row r="4">
      <c r="A4" s="4" t="inlineStr">
        <is>
          <t>TABLE 2C — CONSOLIDATED BALANCE SHEET DETAIL</t>
        </is>
      </c>
    </row>
    <row r="5">
      <c r="B5" s="5" t="inlineStr">
        <is>
          <t>Line item ($M)</t>
        </is>
      </c>
      <c r="C5" s="5" t="inlineStr">
        <is>
          <t>July 31, 2024</t>
        </is>
      </c>
      <c r="D5" s="5" t="inlineStr">
        <is>
          <t>July 31, 2025</t>
        </is>
      </c>
      <c r="E5" s="5" t="inlineStr">
        <is>
          <t>10-K page cite / basis</t>
        </is>
      </c>
    </row>
    <row r="6">
      <c r="B6" s="7" t="inlineStr">
        <is>
          <t>Cash, cash equivalents, and restricted cash</t>
        </is>
      </c>
      <c r="C6" s="13" t="n">
        <v>1514.1</v>
      </c>
      <c r="D6" s="13" t="n">
        <v>2780.5</v>
      </c>
      <c r="E6" s="15" t="inlineStr">
        <is>
          <t>10-K p. 54</t>
        </is>
      </c>
    </row>
    <row r="7">
      <c r="B7" s="9" t="inlineStr">
        <is>
          <t>Investment in held-to-maturity Treasuries</t>
        </is>
      </c>
      <c r="C7" s="16" t="n">
        <v>1908</v>
      </c>
      <c r="D7" s="16" t="n">
        <v>2008.5</v>
      </c>
      <c r="E7" s="18" t="inlineStr">
        <is>
          <t>10-K p. 54</t>
        </is>
      </c>
    </row>
    <row r="8">
      <c r="B8" s="29" t="inlineStr">
        <is>
          <t>Total cash + Treasuries</t>
        </is>
      </c>
      <c r="C8" s="30" t="n">
        <v>3422.2</v>
      </c>
      <c r="D8" s="30" t="n">
        <v>4789.1</v>
      </c>
      <c r="E8" s="31" t="inlineStr">
        <is>
          <t>sum of above</t>
        </is>
      </c>
    </row>
    <row r="9">
      <c r="B9" s="9" t="inlineStr">
        <is>
          <t>Accounts receivable, net</t>
        </is>
      </c>
      <c r="C9" s="16" t="n">
        <v>785.9</v>
      </c>
      <c r="D9" s="16" t="n">
        <v>762.8</v>
      </c>
      <c r="E9" s="18" t="inlineStr">
        <is>
          <t>10-K p. 54</t>
        </is>
      </c>
    </row>
    <row r="10">
      <c r="B10" s="7" t="inlineStr">
        <is>
          <t>Vehicle pooling costs</t>
        </is>
      </c>
      <c r="C10" s="13" t="n">
        <v>132.6</v>
      </c>
      <c r="D10" s="13" t="n">
        <v>116.1</v>
      </c>
      <c r="E10" s="15" t="inlineStr">
        <is>
          <t>10-K p. 54</t>
        </is>
      </c>
    </row>
    <row r="11">
      <c r="B11" s="9" t="inlineStr">
        <is>
          <t>Inventories</t>
        </is>
      </c>
      <c r="C11" s="16" t="n">
        <v>43.6</v>
      </c>
      <c r="D11" s="16" t="n">
        <v>39.7</v>
      </c>
      <c r="E11" s="18" t="inlineStr">
        <is>
          <t>10-K p. 54</t>
        </is>
      </c>
    </row>
    <row r="12">
      <c r="B12" s="29" t="inlineStr">
        <is>
          <t>Total current assets</t>
        </is>
      </c>
      <c r="C12" s="30" t="n">
        <v>4418.2</v>
      </c>
      <c r="D12" s="30" t="n">
        <v>5754.6</v>
      </c>
      <c r="E12" s="31" t="inlineStr">
        <is>
          <t>10-K p. 54</t>
        </is>
      </c>
    </row>
    <row r="13">
      <c r="B13" s="9" t="inlineStr">
        <is>
          <t>Land (at historical cost)</t>
        </is>
      </c>
      <c r="C13" s="16" t="n">
        <v>2027.6</v>
      </c>
      <c r="D13" s="16" t="n">
        <v>2394.6</v>
      </c>
      <c r="E13" s="18" t="inlineStr">
        <is>
          <t>10-K p. 66, Note 4</t>
        </is>
      </c>
    </row>
    <row r="14">
      <c r="B14" s="7" t="inlineStr">
        <is>
          <t>Buildings and improvements</t>
        </is>
      </c>
      <c r="C14" s="13" t="n">
        <v>1482.9</v>
      </c>
      <c r="D14" s="13" t="n">
        <v>1684.2</v>
      </c>
      <c r="E14" s="15" t="inlineStr">
        <is>
          <t>10-K p. 66, Note 4</t>
        </is>
      </c>
    </row>
    <row r="15">
      <c r="B15" s="9" t="inlineStr">
        <is>
          <t>Transportation and other equipment</t>
        </is>
      </c>
      <c r="C15" s="16" t="n">
        <v>605</v>
      </c>
      <c r="D15" s="16" t="n">
        <v>580</v>
      </c>
      <c r="E15" s="18" t="inlineStr">
        <is>
          <t>10-K p. 66, Note 4</t>
        </is>
      </c>
    </row>
    <row r="16">
      <c r="B16" s="7" t="inlineStr">
        <is>
          <t>Office furniture, equipment, software</t>
        </is>
      </c>
      <c r="C16" s="13" t="n">
        <v>202.6</v>
      </c>
      <c r="D16" s="13" t="n">
        <v>220.9</v>
      </c>
      <c r="E16" s="15" t="inlineStr">
        <is>
          <t>10-K p. 66, Note 4</t>
        </is>
      </c>
    </row>
    <row r="17">
      <c r="B17" s="9" t="inlineStr">
        <is>
          <t>Less: accumulated depreciation &amp; amortization</t>
        </is>
      </c>
      <c r="C17" s="16" t="n">
        <v>-1142.2</v>
      </c>
      <c r="D17" s="16" t="n">
        <v>-1281.6</v>
      </c>
      <c r="E17" s="18" t="inlineStr">
        <is>
          <t>10-K p. 66, Note 4</t>
        </is>
      </c>
    </row>
    <row r="18">
      <c r="B18" s="29" t="inlineStr">
        <is>
          <t>Property and equipment, net</t>
        </is>
      </c>
      <c r="C18" s="30" t="n">
        <v>3175.8</v>
      </c>
      <c r="D18" s="30" t="n">
        <v>3598.1</v>
      </c>
      <c r="E18" s="31" t="inlineStr">
        <is>
          <t>10-K p. 54</t>
        </is>
      </c>
    </row>
    <row r="19">
      <c r="B19" s="9" t="inlineStr">
        <is>
          <t>Goodwill</t>
        </is>
      </c>
      <c r="C19" s="16" t="n">
        <v>513.9</v>
      </c>
      <c r="D19" s="16" t="n">
        <v>517.8</v>
      </c>
      <c r="E19" s="18" t="inlineStr">
        <is>
          <t>10-K p. 54</t>
        </is>
      </c>
    </row>
    <row r="20">
      <c r="B20" s="7" t="inlineStr">
        <is>
          <t>Intangibles, net</t>
        </is>
      </c>
      <c r="C20" s="13" t="n">
        <v>74.09999999999999</v>
      </c>
      <c r="D20" s="13" t="n">
        <v>62.8</v>
      </c>
      <c r="E20" s="15" t="inlineStr">
        <is>
          <t>10-K p. 54</t>
        </is>
      </c>
    </row>
    <row r="21">
      <c r="B21" s="29" t="inlineStr">
        <is>
          <t>Total assets</t>
        </is>
      </c>
      <c r="C21" s="30" t="n">
        <v>8427.799999999999</v>
      </c>
      <c r="D21" s="30" t="n">
        <v>10090.9</v>
      </c>
      <c r="E21" s="31" t="inlineStr">
        <is>
          <t>10-K p. 54</t>
        </is>
      </c>
    </row>
    <row r="22">
      <c r="B22" s="7" t="inlineStr">
        <is>
          <t>Accounts payable and accrued liabilities</t>
        </is>
      </c>
      <c r="C22" s="13" t="n">
        <v>518.1</v>
      </c>
      <c r="D22" s="13" t="n">
        <v>591.8</v>
      </c>
      <c r="E22" s="15" t="inlineStr">
        <is>
          <t>10-K p. 54</t>
        </is>
      </c>
    </row>
    <row r="23">
      <c r="B23" s="9" t="inlineStr">
        <is>
          <t>Deferred revenue</t>
        </is>
      </c>
      <c r="C23" s="16" t="n">
        <v>28.1</v>
      </c>
      <c r="D23" s="16" t="n">
        <v>30.4</v>
      </c>
      <c r="E23" s="18" t="inlineStr">
        <is>
          <t>10-K p. 54</t>
        </is>
      </c>
    </row>
    <row r="24">
      <c r="B24" s="7" t="inlineStr">
        <is>
          <t>Income taxes payable (current + non-current)</t>
        </is>
      </c>
      <c r="C24" s="13" t="n">
        <v>120.6</v>
      </c>
      <c r="D24" s="13" t="n">
        <v>76.8</v>
      </c>
      <c r="E24" s="15" t="inlineStr">
        <is>
          <t>10-K p. 54</t>
        </is>
      </c>
    </row>
    <row r="25">
      <c r="B25" s="9" t="inlineStr">
        <is>
          <t>Operating and finance lease liabilities</t>
        </is>
      </c>
      <c r="C25" s="16" t="n">
        <v>118.7</v>
      </c>
      <c r="D25" s="16" t="n">
        <v>103.7</v>
      </c>
      <c r="E25" s="18" t="inlineStr">
        <is>
          <t>10-K p. 54</t>
        </is>
      </c>
    </row>
    <row r="26">
      <c r="B26" s="29" t="inlineStr">
        <is>
          <t>Long-term debt (drawn under Revolving Facility)</t>
        </is>
      </c>
      <c r="C26" s="30" t="n">
        <v>0</v>
      </c>
      <c r="D26" s="30" t="n">
        <v>0</v>
      </c>
      <c r="E26" s="31" t="inlineStr">
        <is>
          <t>10-K p. 71, Note 9</t>
        </is>
      </c>
    </row>
    <row r="27">
      <c r="B27" s="29" t="inlineStr">
        <is>
          <t>Total liabilities</t>
        </is>
      </c>
      <c r="C27" s="30" t="n">
        <v>879.2</v>
      </c>
      <c r="D27" s="30" t="n">
        <v>883.4</v>
      </c>
      <c r="E27" s="31" t="inlineStr">
        <is>
          <t>10-K p. 54</t>
        </is>
      </c>
    </row>
    <row r="28">
      <c r="B28" s="29" t="inlineStr">
        <is>
          <t>Redeemable non-controlling interest</t>
        </is>
      </c>
      <c r="C28" s="30" t="n">
        <v>24.544</v>
      </c>
      <c r="D28" s="30" t="n">
        <v>20.458</v>
      </c>
      <c r="E28" s="31" t="inlineStr">
        <is>
          <t>10-K p. 54, mezzanine</t>
        </is>
      </c>
    </row>
    <row r="29">
      <c r="B29" s="29" t="inlineStr">
        <is>
          <t>Total stockholders' equity</t>
        </is>
      </c>
      <c r="C29" s="30" t="n">
        <v>7524</v>
      </c>
      <c r="D29" s="30" t="n">
        <v>9187</v>
      </c>
      <c r="E29" s="31" t="inlineStr">
        <is>
          <t>10-K p. 54</t>
        </is>
      </c>
    </row>
    <row r="30">
      <c r="B30" s="29" t="inlineStr">
        <is>
          <t>Total liabilities and stockholders' equity</t>
        </is>
      </c>
      <c r="C30" s="30">
        <f>C27+C28+C29</f>
        <v/>
      </c>
      <c r="D30" s="30">
        <f>D27+D28+D29</f>
        <v/>
      </c>
      <c r="E30" s="31" t="inlineStr">
        <is>
          <t>ties to Total assets (row 21)</t>
        </is>
      </c>
    </row>
    <row r="31">
      <c r="B31" s="81" t="inlineStr">
        <is>
          <t>Check: Total assets − Total L&amp;SE (should be $0)</t>
        </is>
      </c>
      <c r="C31" s="82">
        <f>C21-C30</f>
        <v/>
      </c>
      <c r="D31" s="82">
        <f>D21-D30</f>
        <v/>
      </c>
      <c r="E31" s="31" t="inlineStr">
        <is>
          <t>rounding gap OK if &lt;$1M</t>
        </is>
      </c>
    </row>
    <row r="32">
      <c r="A32" s="4" t="inlineStr">
        <is>
          <t>THE FORTRESS ANCHORS — Why there is no capital-structure fix to make here</t>
        </is>
      </c>
    </row>
    <row r="33">
      <c r="B33" s="25" t="inlineStr">
        <is>
          <t>Consolidated net leverage ratio (net cash exceeds EBITDA)</t>
        </is>
      </c>
      <c r="C33" s="32" t="inlineStr">
        <is>
          <t>(2.35)x</t>
        </is>
      </c>
      <c r="E33" s="27" t="inlineStr">
        <is>
          <t>10-K p. 72, Note 9</t>
        </is>
      </c>
    </row>
    <row r="34">
      <c r="B34" s="25" t="inlineStr">
        <is>
          <t>Undrawn revolving loan facility capacity</t>
        </is>
      </c>
      <c r="C34" s="32" t="inlineStr">
        <is>
          <t>$1,250M</t>
        </is>
      </c>
      <c r="E34" s="27" t="inlineStr">
        <is>
          <t>10-K p. 71, Note 9</t>
        </is>
      </c>
    </row>
    <row r="35">
      <c r="B35" s="25" t="inlineStr">
        <is>
          <t>Minimum liquidity requirement (well above threshold)</t>
        </is>
      </c>
      <c r="C35" s="32" t="inlineStr">
        <is>
          <t>$6,000M</t>
        </is>
      </c>
      <c r="E35" s="27" t="inlineStr">
        <is>
          <t>10-K p. 72, Note 9</t>
        </is>
      </c>
    </row>
    <row r="36">
      <c r="B36" s="25" t="inlineStr">
        <is>
          <t>FY2025 net cash provided by operating activities</t>
        </is>
      </c>
      <c r="C36" s="32" t="inlineStr">
        <is>
          <t>$1,799.8M</t>
        </is>
      </c>
      <c r="E36" s="27" t="inlineStr">
        <is>
          <t>10-K p. 58, Cash Flows</t>
        </is>
      </c>
    </row>
    <row r="37">
      <c r="B37" s="25" t="inlineStr">
        <is>
          <t>FY2025 capital expenditures</t>
        </is>
      </c>
      <c r="C37" s="32" t="inlineStr">
        <is>
          <t>$569.0M</t>
        </is>
      </c>
      <c r="E37" s="27" t="inlineStr">
        <is>
          <t>10-K p. 58, Cash Flows</t>
        </is>
      </c>
    </row>
    <row r="38">
      <c r="B38" s="25" t="inlineStr">
        <is>
          <t>Free cash flow proxy (op cash − capex)</t>
        </is>
      </c>
      <c r="C38" s="32" t="inlineStr">
        <is>
          <t>$1,230.8M</t>
        </is>
      </c>
      <c r="E38" s="27" t="inlineStr">
        <is>
          <t>reconstructed</t>
        </is>
      </c>
    </row>
    <row r="39">
      <c r="B39" s="25" t="inlineStr">
        <is>
          <t>Owned land as % of stockholders' equity</t>
        </is>
      </c>
      <c r="C39" s="32" t="inlineStr">
        <is>
          <t>26.1%</t>
        </is>
      </c>
      <c r="E39" s="27" t="inlineStr">
        <is>
          <t>$2,394.6M / $9,187.0M</t>
        </is>
      </c>
    </row>
    <row r="40">
      <c r="B40" s="25" t="inlineStr">
        <is>
          <t>Total cash + HTM Treasuries as % of market cap ($27.8B)</t>
        </is>
      </c>
      <c r="C40" s="32" t="inlineStr">
        <is>
          <t>17.2%</t>
        </is>
      </c>
      <c r="E40" s="27" t="inlineStr">
        <is>
          <t>$4,789M / $27,784M</t>
        </is>
      </c>
    </row>
    <row r="43">
      <c r="A43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&amp;K3C3F45Balance_Sheet&amp;R&amp;8 &amp;KC89000BARATELLI INSTITUTE  *  MENTORING AT SCALE</oddHeader>
    <oddFooter>&amp;L&amp;8 &amp;K3C3F45baratelliinstitute.com&amp;C&amp;8 &amp;K3C3F45Page &amp;P of &amp;N&amp;R&amp;8 &amp;K3C3F45Copart Berkshire 2026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D2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4" customWidth="1" min="2" max="2"/>
    <col width="16" customWidth="1" min="3" max="3"/>
    <col width="32" customWidth="1" min="4" max="4"/>
  </cols>
  <sheetData>
    <row r="1">
      <c r="A1" s="1" t="inlineStr">
        <is>
          <t>DRIVER 1 — GEICO INTEGRATION MARGIN CAPTURE</t>
        </is>
      </c>
    </row>
    <row r="2">
      <c r="A2" s="2" t="inlineStr">
        <is>
          <t>GEICO total-loss volume × Copart per-vehicle operating income = internal transfer captured under Berkshire ownership.</t>
        </is>
      </c>
    </row>
    <row r="4">
      <c r="A4" s="4" t="inlineStr">
        <is>
          <t>INPUTS — Yellow cells are the reader-flex assumptions</t>
        </is>
      </c>
    </row>
    <row r="5">
      <c r="B5" s="5" t="inlineStr">
        <is>
          <t>Input</t>
        </is>
      </c>
      <c r="C5" s="5" t="inlineStr">
        <is>
          <t>Value</t>
        </is>
      </c>
      <c r="D5" s="5" t="inlineStr">
        <is>
          <t>Source / Note</t>
        </is>
      </c>
    </row>
    <row r="6">
      <c r="B6" s="7" t="inlineStr">
        <is>
          <t>GEICO US vehicles covered</t>
        </is>
      </c>
      <c r="C6" s="33" t="n">
        <v>27000000</v>
      </c>
      <c r="D6" s="34" t="inlineStr">
        <is>
          <t>Berkshire 2024 annual report</t>
        </is>
      </c>
    </row>
    <row r="7">
      <c r="B7" s="7" t="inlineStr">
        <is>
          <t>Industry claim frequency</t>
        </is>
      </c>
      <c r="C7" s="35" t="n">
        <v>0.06</v>
      </c>
      <c r="D7" s="34" t="inlineStr">
        <is>
          <t>III / NAIC industry avg</t>
        </is>
      </c>
    </row>
    <row r="8">
      <c r="B8" s="7" t="inlineStr">
        <is>
          <t>Total claims per year (computed)</t>
        </is>
      </c>
      <c r="C8" s="36">
        <f>C6*C7</f>
        <v/>
      </c>
      <c r="D8" s="34">
        <f> vehicles × claim frequency</f>
        <v/>
      </c>
    </row>
    <row r="9">
      <c r="B9" s="7" t="inlineStr">
        <is>
          <t>Share of claims declared total loss</t>
        </is>
      </c>
      <c r="C9" s="35" t="n">
        <v>0.23</v>
      </c>
      <c r="D9" s="34" t="inlineStr">
        <is>
          <t>CCC / Mitchell industry data</t>
        </is>
      </c>
    </row>
    <row r="10">
      <c r="B10" s="7" t="inlineStr">
        <is>
          <t>GEICO total-loss vehicles per year</t>
        </is>
      </c>
      <c r="C10" s="36">
        <f>C8*C9</f>
        <v/>
      </c>
      <c r="D10" s="34">
        <f> claims × total-loss share</f>
        <v/>
      </c>
    </row>
    <row r="11">
      <c r="B11" s="7" t="inlineStr">
        <is>
          <t>Share directed to Copart's platform</t>
        </is>
      </c>
      <c r="C11" s="35" t="n">
        <v>0.65</v>
      </c>
      <c r="D11" s="34" t="inlineStr">
        <is>
          <t>Practitioner estimate; Copart ~55–60% carrier-facing US share; GEICO integration mature</t>
        </is>
      </c>
    </row>
    <row r="12">
      <c r="B12" s="7" t="inlineStr">
        <is>
          <t>GEICO vehicles cleared through Copart / yr</t>
        </is>
      </c>
      <c r="C12" s="36">
        <f>C10*C11</f>
        <v/>
      </c>
      <c r="D12" s="34">
        <f> total-loss × Copart share</f>
        <v/>
      </c>
    </row>
    <row r="13">
      <c r="B13" s="7" t="inlineStr">
        <is>
          <t>Seller-side fees per vehicle (illustrative)</t>
        </is>
      </c>
      <c r="C13" s="33" t="n">
        <v>350</v>
      </c>
      <c r="D13" s="34" t="inlineStr">
        <is>
          <t>Practitioner reconstruction — not disclosed</t>
        </is>
      </c>
    </row>
    <row r="14">
      <c r="B14" s="7" t="inlineStr">
        <is>
          <t>Buyer-side fees per vehicle (illustrative)</t>
        </is>
      </c>
      <c r="C14" s="33" t="n">
        <v>750</v>
      </c>
      <c r="D14" s="34" t="inlineStr">
        <is>
          <t>Practitioner reconstruction — not disclosed</t>
        </is>
      </c>
    </row>
    <row r="15">
      <c r="B15" s="7" t="inlineStr">
        <is>
          <t>Ancillary fees per vehicle (illustrative)</t>
        </is>
      </c>
      <c r="C15" s="33" t="n">
        <v>150</v>
      </c>
      <c r="D15" s="34" t="inlineStr">
        <is>
          <t>Practitioner reconstruction — not disclosed</t>
        </is>
      </c>
    </row>
    <row r="16">
      <c r="B16" s="7" t="inlineStr">
        <is>
          <t>Aggregate Copart fee capture per vehicle</t>
        </is>
      </c>
      <c r="C16" s="36">
        <f>C13+C14+C15</f>
        <v/>
      </c>
      <c r="D16" s="34">
        <f> sum of three above</f>
        <v/>
      </c>
    </row>
    <row r="17">
      <c r="B17" s="7" t="inlineStr">
        <is>
          <t>Copart operating margin</t>
        </is>
      </c>
      <c r="C17" s="35" t="n">
        <v>0.35</v>
      </c>
      <c r="D17" s="34" t="inlineStr">
        <is>
          <t>Copart consolidated op margin trend (10-K p. 55)</t>
        </is>
      </c>
    </row>
    <row r="18">
      <c r="B18" s="7" t="inlineStr">
        <is>
          <t>Copart op income per vehicle (illustrative)</t>
        </is>
      </c>
      <c r="C18" s="36">
        <f>C16*C17</f>
        <v/>
      </c>
      <c r="D18" s="34">
        <f> aggregate × op margin</f>
        <v/>
      </c>
    </row>
    <row r="19">
      <c r="B19" s="7" t="inlineStr">
        <is>
          <t>Op income attributable to GEICO volume ($M)</t>
        </is>
      </c>
      <c r="C19" s="20">
        <f>C12*C18/1000000</f>
        <v/>
      </c>
      <c r="D19" s="34">
        <f> vehicles × op inc per vehicle ÷ 1,000,000</f>
        <v/>
      </c>
    </row>
    <row r="20">
      <c r="B20" s="7" t="inlineStr">
        <is>
          <t>Workflow integration efficiency lift ($M)</t>
        </is>
      </c>
      <c r="C20" s="37" t="n">
        <v>35</v>
      </c>
      <c r="D20" s="34" t="inlineStr">
        <is>
          <t>Practitioner estimate</t>
        </is>
      </c>
    </row>
    <row r="22">
      <c r="B22" s="38" t="inlineStr">
        <is>
          <t>Total Driver 1 — annual value creation to Berkshire</t>
        </is>
      </c>
      <c r="C22" s="39">
        <f>C19+C20</f>
        <v/>
      </c>
      <c r="D22" s="12">
        <f> internal margin capture + workflow lift</f>
        <v/>
      </c>
    </row>
    <row r="24">
      <c r="B24" s="38" t="inlineStr">
        <is>
          <t>Case Table 6 anchor — Driver 1 = ~$135M/yr</t>
        </is>
      </c>
      <c r="C24" s="40" t="n">
        <v>135</v>
      </c>
      <c r="D24" s="12" t="inlineStr">
        <is>
          <t>Case Section 5, Table 5C central case</t>
        </is>
      </c>
    </row>
    <row r="27">
      <c r="A27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&amp;K3C3F45Driver1_GEICO&amp;R&amp;8 &amp;KC89000BARATELLI INSTITUTE  *  MENTORING AT SCALE</oddHeader>
    <oddFooter>&amp;L&amp;8 &amp;K3C3F45baratelliinstitute.com&amp;C&amp;8 &amp;K3C3F45Page &amp;P of &amp;N&amp;R&amp;8 &amp;K3C3F45Copart Berkshire 2026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D2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4" customWidth="1" min="2" max="2"/>
    <col width="16" customWidth="1" min="3" max="3"/>
    <col width="32" customWidth="1" min="4" max="4"/>
  </cols>
  <sheetData>
    <row r="1">
      <c r="A1" s="1" t="inlineStr">
        <is>
          <t>DRIVER 2 — INTERNATIONAL CONSOLIDATION AT BERKSHIRE CAPITAL COST</t>
        </is>
      </c>
    </row>
    <row r="2">
      <c r="A2" s="2" t="inlineStr">
        <is>
          <t>Berkshire funds pace of yard acquisitions in UK, Germany, Spain, Brazil, Middle East. ROIC × ramp = mature-year uplift.</t>
        </is>
      </c>
    </row>
    <row r="4">
      <c r="A4" s="4" t="inlineStr">
        <is>
          <t>INPUTS — Yellow cells are the reader-flex assumptions</t>
        </is>
      </c>
    </row>
    <row r="5">
      <c r="B5" s="5" t="inlineStr">
        <is>
          <t>Input</t>
        </is>
      </c>
      <c r="C5" s="5" t="inlineStr">
        <is>
          <t>Value</t>
        </is>
      </c>
      <c r="D5" s="5" t="inlineStr">
        <is>
          <t>Source / Note</t>
        </is>
      </c>
    </row>
    <row r="6">
      <c r="B6" s="7" t="inlineStr">
        <is>
          <t>International revenue baseline (FY2025)</t>
        </is>
      </c>
      <c r="C6" s="13" t="n">
        <v>791.9</v>
      </c>
      <c r="D6" s="34" t="inlineStr">
        <is>
          <t>10-K p. 80, VERIFIED — segment reporting</t>
        </is>
      </c>
    </row>
    <row r="7">
      <c r="B7" s="7" t="inlineStr">
        <is>
          <t>International operating margin (FY2025)</t>
        </is>
      </c>
      <c r="C7" s="14" t="n">
        <v>0.273</v>
      </c>
      <c r="D7" s="34" t="inlineStr">
        <is>
          <t>10-K p. 80 — vs. US 38.4%</t>
        </is>
      </c>
    </row>
    <row r="8">
      <c r="B8" s="7" t="inlineStr">
        <is>
          <t>International operating income baseline</t>
        </is>
      </c>
      <c r="C8" s="13" t="n">
        <v>215.8</v>
      </c>
      <c r="D8" s="34" t="inlineStr">
        <is>
          <t>10-K p. 80</t>
        </is>
      </c>
    </row>
    <row r="9">
      <c r="B9" s="7" t="inlineStr">
        <is>
          <t>International op margin gap vs. US</t>
        </is>
      </c>
      <c r="C9" s="14" t="n">
        <v>0.111</v>
      </c>
      <c r="D9" s="34">
        <f> 38.4% − 27.3%</f>
        <v/>
      </c>
    </row>
    <row r="10">
      <c r="B10" s="7" t="inlineStr">
        <is>
          <t>Berkshire annual acquisition deployment ($M)</t>
        </is>
      </c>
      <c r="C10" s="37" t="n">
        <v>500</v>
      </c>
      <c r="D10" s="34" t="inlineStr">
        <is>
          <t>Practitioner assumption; Copart 10-K disclosure of continued international expansion</t>
        </is>
      </c>
    </row>
    <row r="11">
      <c r="B11" s="7" t="inlineStr">
        <is>
          <t>Target ROIC on acquired yards</t>
        </is>
      </c>
      <c r="C11" s="35" t="n">
        <v>0.15</v>
      </c>
      <c r="D11" s="34" t="inlineStr">
        <is>
          <t>Practitioner estimate; slightly below Copart organic ROIC</t>
        </is>
      </c>
    </row>
    <row r="12">
      <c r="B12" s="7" t="inlineStr">
        <is>
          <t>Ramp period (years to mature run-rate)</t>
        </is>
      </c>
      <c r="C12" s="33" t="n">
        <v>3</v>
      </c>
      <c r="D12" s="34" t="inlineStr">
        <is>
          <t>Integration + platform standardization</t>
        </is>
      </c>
    </row>
    <row r="13">
      <c r="B13" s="7" t="inlineStr">
        <is>
          <t>Year 1 contribution (25% of mature)</t>
        </is>
      </c>
      <c r="C13" s="13">
        <f>C15*0.25</f>
        <v/>
      </c>
      <c r="D13" s="34">
        <f> 25% × mature run-rate</f>
        <v/>
      </c>
    </row>
    <row r="14">
      <c r="B14" s="7" t="inlineStr">
        <is>
          <t>Year 2 contribution (50% of mature)</t>
        </is>
      </c>
      <c r="C14" s="13">
        <f>C15*0.5</f>
        <v/>
      </c>
      <c r="D14" s="34">
        <f> 50% × mature run-rate</f>
        <v/>
      </c>
    </row>
    <row r="15">
      <c r="B15" s="7" t="inlineStr">
        <is>
          <t>Year 3 mature-run-rate operating income lift</t>
        </is>
      </c>
      <c r="C15" s="20">
        <f>C10*C11</f>
        <v/>
      </c>
      <c r="D15" s="34">
        <f> deployment × ROIC</f>
        <v/>
      </c>
    </row>
    <row r="16">
      <c r="B16" s="7" t="inlineStr">
        <is>
          <t>Margin normalization lift (international → US benchmark)</t>
        </is>
      </c>
      <c r="C16" s="37" t="n">
        <v>35</v>
      </c>
      <c r="D16" s="34" t="inlineStr">
        <is>
          <t>Bringing intl margin up from 27.3% to closer to US 38.4% on existing revenue base as platform consolidation matures</t>
        </is>
      </c>
    </row>
    <row r="18">
      <c r="B18" s="38" t="inlineStr">
        <is>
          <t>Total Driver 2 — Year 2 stabilized operating income lift</t>
        </is>
      </c>
      <c r="C18" s="39">
        <f>C15+C16</f>
        <v/>
      </c>
      <c r="D18" s="12">
        <f> Y2 acquisition ramp + margin normalization</f>
        <v/>
      </c>
    </row>
    <row r="20">
      <c r="B20" s="38" t="inlineStr">
        <is>
          <t>Case Table 6 anchor — Driver 2 = ~$110M/yr</t>
        </is>
      </c>
      <c r="C20" s="40" t="n">
        <v>110</v>
      </c>
      <c r="D20" s="12" t="inlineStr">
        <is>
          <t>Case Section 6</t>
        </is>
      </c>
    </row>
    <row r="23">
      <c r="A23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&amp;K3C3F45Driver2_International&amp;R&amp;8 &amp;KC89000BARATELLI INSTITUTE  *  MENTORING AT SCALE</oddHeader>
    <oddFooter>&amp;L&amp;8 &amp;K3C3F45baratelliinstitute.com&amp;C&amp;8 &amp;K3C3F45Page &amp;P of &amp;N&amp;R&amp;8 &amp;K3C3F45Copart Berkshire 2026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H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26" customWidth="1" min="8" max="8"/>
  </cols>
  <sheetData>
    <row r="1">
      <c r="A1" s="1" t="inlineStr">
        <is>
          <t>PRO FORMA YEAR 2 — Baseline + 2 Drivers = Combined Value Creation</t>
        </is>
      </c>
    </row>
    <row r="2">
      <c r="A2" s="2" t="inlineStr">
        <is>
          <t>Baseline column is Copart FY2025 filed 10-K. Drivers pull from the driver tabs. Two Berkshire-specific drivers land on top of standalone economics.</t>
        </is>
      </c>
    </row>
    <row r="4">
      <c r="A4" s="4" t="inlineStr">
        <is>
          <t>TABLE 16 — BERKSHIRE PRO-FORMA MODEL, COPART YEAR 2 STABILIZED</t>
        </is>
      </c>
    </row>
    <row r="5">
      <c r="B5" s="5" t="inlineStr">
        <is>
          <t>Line item ($M)</t>
        </is>
      </c>
      <c r="C5" s="5" t="inlineStr">
        <is>
          <t>Baseline FY25 (10-K)</t>
        </is>
      </c>
      <c r="D5" s="5" t="inlineStr">
        <is>
          <t>Driver 1 · GEICO</t>
        </is>
      </c>
      <c r="E5" s="5" t="inlineStr">
        <is>
          <t>Driver 2 · Intl</t>
        </is>
      </c>
      <c r="F5" s="5" t="inlineStr"/>
      <c r="G5" s="5" t="inlineStr">
        <is>
          <t>Pro forma Y2</t>
        </is>
      </c>
      <c r="H5" s="5" t="inlineStr">
        <is>
          <t>Note</t>
        </is>
      </c>
    </row>
    <row r="6">
      <c r="B6" s="41" t="inlineStr">
        <is>
          <t>Total revenues</t>
        </is>
      </c>
      <c r="C6" s="42" t="n">
        <v>4647</v>
      </c>
      <c r="D6" s="43" t="inlineStr">
        <is>
          <t>—</t>
        </is>
      </c>
      <c r="E6" s="42" t="n">
        <v>220</v>
      </c>
      <c r="F6" s="43" t="n"/>
      <c r="G6" s="44">
        <f>SUM(C6:F6)</f>
        <v/>
      </c>
      <c r="H6" s="34" t="inlineStr">
        <is>
          <t>Baseline VERIFIED 10-K p. 55</t>
        </is>
      </c>
    </row>
    <row r="7">
      <c r="B7" s="45" t="inlineStr">
        <is>
          <t>Facility operations expense</t>
        </is>
      </c>
      <c r="C7" s="46" t="n">
        <v>-1944</v>
      </c>
      <c r="D7" s="46" t="n">
        <v>-25</v>
      </c>
      <c r="E7" s="46" t="n">
        <v>-80</v>
      </c>
      <c r="F7" s="47" t="n"/>
      <c r="G7" s="48">
        <f>SUM(C7:F7)</f>
        <v/>
      </c>
      <c r="H7" s="49" t="inlineStr">
        <is>
          <t>Op cost scales with acquired volume</t>
        </is>
      </c>
    </row>
    <row r="8">
      <c r="B8" s="41" t="inlineStr">
        <is>
          <t>Cost of vehicle sales</t>
        </is>
      </c>
      <c r="C8" s="42" t="n">
        <v>-603</v>
      </c>
      <c r="D8" s="43" t="inlineStr">
        <is>
          <t>—</t>
        </is>
      </c>
      <c r="E8" s="42" t="n">
        <v>-30</v>
      </c>
      <c r="F8" s="43" t="n"/>
      <c r="G8" s="44">
        <f>SUM(C8:F8)</f>
        <v/>
      </c>
      <c r="H8" s="34" t="inlineStr">
        <is>
          <t>10-K p. 55</t>
        </is>
      </c>
    </row>
    <row r="9">
      <c r="B9" s="45" t="inlineStr">
        <is>
          <t>General and administrative</t>
        </is>
      </c>
      <c r="C9" s="46" t="n">
        <v>-403</v>
      </c>
      <c r="D9" s="47" t="inlineStr">
        <is>
          <t>—</t>
        </is>
      </c>
      <c r="E9" s="47" t="inlineStr">
        <is>
          <t>—</t>
        </is>
      </c>
      <c r="F9" s="47" t="n"/>
      <c r="G9" s="48">
        <f>SUM(C9:F9)</f>
        <v/>
      </c>
      <c r="H9" s="49" t="inlineStr">
        <is>
          <t>10-K p. 55</t>
        </is>
      </c>
    </row>
    <row r="10">
      <c r="B10" s="41" t="n"/>
      <c r="C10" s="43" t="inlineStr">
        <is>
          <t>—</t>
        </is>
      </c>
      <c r="D10" s="43" t="inlineStr">
        <is>
          <t>—</t>
        </is>
      </c>
      <c r="E10" s="43" t="inlineStr">
        <is>
          <t>—</t>
        </is>
      </c>
      <c r="F10" s="43" t="n"/>
      <c r="G10" s="44">
        <f>SUM(C10:F10)</f>
        <v/>
      </c>
      <c r="H10" s="34" t="n"/>
    </row>
    <row r="11">
      <c r="B11" s="45" t="inlineStr">
        <is>
          <t>GEICO integration internal transfer</t>
        </is>
      </c>
      <c r="C11" s="47" t="inlineStr">
        <is>
          <t>—</t>
        </is>
      </c>
      <c r="D11" s="46" t="n">
        <v>160</v>
      </c>
      <c r="E11" s="47" t="inlineStr">
        <is>
          <t>—</t>
        </is>
      </c>
      <c r="F11" s="47" t="n"/>
      <c r="G11" s="48">
        <f>SUM(C11:F11)</f>
        <v/>
      </c>
      <c r="H11" s="49" t="inlineStr">
        <is>
          <t>Includes efficiency lift</t>
        </is>
      </c>
    </row>
    <row r="12">
      <c r="B12" s="41" t="n"/>
      <c r="C12" s="43" t="inlineStr">
        <is>
          <t>—</t>
        </is>
      </c>
      <c r="D12" s="43" t="inlineStr">
        <is>
          <t>—</t>
        </is>
      </c>
      <c r="E12" s="43" t="inlineStr">
        <is>
          <t>—</t>
        </is>
      </c>
      <c r="F12" s="42" t="n"/>
      <c r="G12" s="44">
        <f>SUM(C12:F12)</f>
        <v/>
      </c>
      <c r="H12" s="34" t="n"/>
    </row>
    <row r="13">
      <c r="B13" s="38" t="inlineStr">
        <is>
          <t>Operating income — Berkshire consolidated view</t>
        </is>
      </c>
      <c r="C13" s="50">
        <f>SUM(C6:C12)</f>
        <v/>
      </c>
      <c r="D13" s="50">
        <f>SUM(D6:D12)</f>
        <v/>
      </c>
      <c r="E13" s="50">
        <f>SUM(E6:E12)</f>
        <v/>
      </c>
      <c r="F13" s="50">
        <f>SUM(F6:F12)</f>
        <v/>
      </c>
      <c r="G13" s="51">
        <f>SUM(C13:F13)</f>
        <v/>
      </c>
    </row>
    <row r="14">
      <c r="B14" s="38" t="inlineStr">
        <is>
          <t>Combined value creation vs. baseline</t>
        </is>
      </c>
      <c r="C14" s="52" t="inlineStr">
        <is>
          <t>—</t>
        </is>
      </c>
      <c r="D14" s="50">
        <f>D13</f>
        <v/>
      </c>
      <c r="E14" s="50">
        <f>E13</f>
        <v/>
      </c>
      <c r="F14" s="50">
        <f>F13</f>
        <v/>
      </c>
      <c r="G14" s="51">
        <f>SUM(D14:F14)</f>
        <v/>
      </c>
    </row>
    <row r="16">
      <c r="B16" s="38" t="inlineStr">
        <is>
          <t>Case Table 16 anchor — combined value creation = ~+$245M/yr (two drivers)</t>
        </is>
      </c>
      <c r="C16" s="40" t="n">
        <v>245</v>
      </c>
    </row>
    <row r="19">
      <c r="A19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&amp;K3C3F45ProForma_Y2&amp;R&amp;8 &amp;KC89000BARATELLI INSTITUTE  *  MENTORING AT SCALE</oddHeader>
    <oddFooter>&amp;L&amp;8 &amp;K3C3F45baratelliinstitute.com&amp;C&amp;8 &amp;K3C3F45Page &amp;P of &amp;N&amp;R&amp;8 &amp;K3C3F45Copart Berkshire 2026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F4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2" customWidth="1" min="3" max="3"/>
    <col width="14" customWidth="1" min="4" max="4"/>
    <col width="14" customWidth="1" min="5" max="5"/>
    <col width="34" customWidth="1" min="6" max="6"/>
  </cols>
  <sheetData>
    <row r="1">
      <c r="A1" s="1" t="inlineStr">
        <is>
          <t>COPART — INTRINSIC VALUE: SUM-OF-THE-PARTS (ABSOLUTE DOLLARS)</t>
        </is>
      </c>
    </row>
    <row r="2">
      <c r="A2" s="2" t="inlineStr">
        <is>
          <t>Owner earnings capitalized + real estate at market + cash + Treasuries, in $ billions. No multiples. The Baratelli / Buffett discipline.</t>
        </is>
      </c>
    </row>
    <row r="4">
      <c r="A4" s="4" t="inlineStr">
        <is>
          <t>PIECE 1 — OWNER EARNINGS, WALKED FROM THE FY2025 10-K</t>
        </is>
      </c>
    </row>
    <row r="5">
      <c r="B5" s="5" t="inlineStr">
        <is>
          <t>Line</t>
        </is>
      </c>
      <c r="C5" s="5" t="inlineStr">
        <is>
          <t>Item</t>
        </is>
      </c>
      <c r="D5" s="5" t="inlineStr">
        <is>
          <t>Value ($M)</t>
        </is>
      </c>
      <c r="E5" s="5" t="inlineStr">
        <is>
          <t>Basis</t>
        </is>
      </c>
    </row>
    <row r="6">
      <c r="B6" s="7" t="inlineStr">
        <is>
          <t>Net income — FY2025</t>
        </is>
      </c>
      <c r="C6" s="53" t="n">
        <v>1548.4</v>
      </c>
      <c r="D6" s="15" t="inlineStr">
        <is>
          <t>VERIFIED — Copart FY2025 10-K p. 55</t>
        </is>
      </c>
    </row>
    <row r="7">
      <c r="B7" s="9" t="inlineStr">
        <is>
          <t>Plus: Depreciation and amortization</t>
        </is>
      </c>
      <c r="C7" s="53" t="n">
        <v>135</v>
      </c>
      <c r="D7" s="18" t="inlineStr">
        <is>
          <t>VERIFIED — 10-K Note 4 p. 66</t>
        </is>
      </c>
    </row>
    <row r="8">
      <c r="B8" s="7" t="inlineStr">
        <is>
          <t>Less: Maintenance capex (portion of gross capex to preserve capacity)</t>
        </is>
      </c>
      <c r="C8" s="53" t="n">
        <v>-150</v>
      </c>
      <c r="D8" s="15" t="inlineStr">
        <is>
          <t>RECONSTRUCTION — split of gross capex ~$550M (10-K p. 57)</t>
        </is>
      </c>
    </row>
    <row r="9">
      <c r="B9" s="9" t="inlineStr">
        <is>
          <t>Less: Working-capital investment</t>
        </is>
      </c>
      <c r="C9" s="53" t="n">
        <v>-25</v>
      </c>
      <c r="D9" s="18" t="inlineStr">
        <is>
          <t>RECONSTRUCTION — WC drag from receivables growth</t>
        </is>
      </c>
    </row>
    <row r="10">
      <c r="B10" s="7" t="inlineStr">
        <is>
          <t>Owner earnings — FY2025 ($M)</t>
        </is>
      </c>
      <c r="C10" s="54" t="n">
        <v>1508</v>
      </c>
      <c r="D10" s="15" t="inlineStr">
        <is>
          <t>RECONSTRUCTION — Buffett owner-earnings definition</t>
        </is>
      </c>
    </row>
    <row r="11">
      <c r="B11" s="9" t="inlineStr">
        <is>
          <t>Going-concern capitalization multiple (18-22x range; central 20x)</t>
        </is>
      </c>
      <c r="C11" s="55" t="n">
        <v>20</v>
      </c>
      <c r="D11" s="18" t="inlineStr">
        <is>
          <t>RECONSTRUCTION — moat + 22% ROIC + 10% growth + zero net debt</t>
        </is>
      </c>
    </row>
    <row r="12">
      <c r="B12" s="7" t="inlineStr">
        <is>
          <t>Going-concern value ($B) = owner earnings × multiple / 1,000</t>
        </is>
      </c>
      <c r="C12" s="56" t="n">
        <v>30.16</v>
      </c>
      <c r="D12" s="15" t="inlineStr">
        <is>
          <t>RECONSTRUCTION — Central: $1,508M × 20x / 1,000</t>
        </is>
      </c>
    </row>
    <row r="15">
      <c r="A15" s="4" t="inlineStr">
        <is>
          <t>PIECE 2 — 200+ OWNED AUCTION YARDS AT MARKET / REPLACEMENT VALUE</t>
        </is>
      </c>
    </row>
    <row r="16">
      <c r="B16" s="5" t="inlineStr">
        <is>
          <t>Line</t>
        </is>
      </c>
      <c r="C16" s="5" t="inlineStr">
        <is>
          <t>Item</t>
        </is>
      </c>
      <c r="D16" s="5" t="inlineStr">
        <is>
          <t>Value ($B)</t>
        </is>
      </c>
      <c r="E16" s="5" t="inlineStr">
        <is>
          <t>Basis</t>
        </is>
      </c>
    </row>
    <row r="17">
      <c r="B17" s="7" t="inlineStr">
        <is>
          <t>Land (10-K carrying value, historical cost)</t>
        </is>
      </c>
      <c r="C17" s="57" t="n">
        <v>2.395</v>
      </c>
      <c r="D17" s="15" t="inlineStr">
        <is>
          <t>VERIFIED — 10-K Note 4 p. 66</t>
        </is>
      </c>
    </row>
    <row r="18">
      <c r="B18" s="9" t="inlineStr">
        <is>
          <t>Buildings and improvements (10-K carrying value)</t>
        </is>
      </c>
      <c r="C18" s="57" t="n">
        <v>1.684</v>
      </c>
      <c r="D18" s="18" t="inlineStr">
        <is>
          <t>VERIFIED — 10-K Note 4 p. 66</t>
        </is>
      </c>
    </row>
    <row r="19">
      <c r="B19" s="7" t="inlineStr">
        <is>
          <t>Book value of yard footprint (Land + Buildings)</t>
        </is>
      </c>
      <c r="C19" s="56" t="n">
        <v>4.08</v>
      </c>
      <c r="D19" s="15" t="inlineStr">
        <is>
          <t>SUM — book value</t>
        </is>
      </c>
    </row>
    <row r="20">
      <c r="B20" s="9" t="inlineStr">
        <is>
          <t>Permit-scarcity market/replacement uplift (1.5-2.0x)</t>
        </is>
      </c>
      <c r="C20" s="57" t="n">
        <v>1.17</v>
      </c>
      <c r="D20" s="18" t="inlineStr">
        <is>
          <t>RECONSTRUCTION — environmental-permit scarcity near metros</t>
        </is>
      </c>
    </row>
    <row r="21">
      <c r="B21" s="7" t="inlineStr">
        <is>
          <t>Real estate at market / replacement — Central</t>
        </is>
      </c>
      <c r="C21" s="56" t="n">
        <v>5.25</v>
      </c>
      <c r="D21" s="15" t="inlineStr">
        <is>
          <t>RECONSTRUCTION — book × ~1.29x mid-case</t>
        </is>
      </c>
    </row>
    <row r="24">
      <c r="A24" s="4" t="inlineStr">
        <is>
          <t>PIECE 3 — FORTRESS CASH + TREASURIES AT FACE</t>
        </is>
      </c>
    </row>
    <row r="25">
      <c r="B25" s="5" t="inlineStr">
        <is>
          <t>Line</t>
        </is>
      </c>
      <c r="C25" s="5" t="inlineStr">
        <is>
          <t>Item</t>
        </is>
      </c>
      <c r="D25" s="5" t="inlineStr">
        <is>
          <t>Value ($B)</t>
        </is>
      </c>
      <c r="E25" s="5" t="inlineStr">
        <is>
          <t>Basis</t>
        </is>
      </c>
    </row>
    <row r="26">
      <c r="B26" s="7" t="inlineStr">
        <is>
          <t>Cash, cash equivalents, and restricted cash</t>
        </is>
      </c>
      <c r="C26" s="57" t="n">
        <v>2.78</v>
      </c>
      <c r="D26" s="15" t="inlineStr">
        <is>
          <t>VERIFIED — 10-K p. 54</t>
        </is>
      </c>
    </row>
    <row r="27">
      <c r="B27" s="9" t="inlineStr">
        <is>
          <t>Held-to-maturity Treasuries</t>
        </is>
      </c>
      <c r="C27" s="57" t="n">
        <v>2.009</v>
      </c>
      <c r="D27" s="18" t="inlineStr">
        <is>
          <t>VERIFIED — 10-K p. 54</t>
        </is>
      </c>
    </row>
    <row r="28">
      <c r="B28" s="7" t="inlineStr">
        <is>
          <t>Cash + Treasuries — total at face</t>
        </is>
      </c>
      <c r="C28" s="56" t="n">
        <v>4.789</v>
      </c>
      <c r="D28" s="15" t="inlineStr">
        <is>
          <t>SUM</t>
        </is>
      </c>
    </row>
    <row r="29">
      <c r="B29" s="9" t="inlineStr">
        <is>
          <t>Less: long-term debt</t>
        </is>
      </c>
      <c r="C29" s="57" t="n">
        <v>0</v>
      </c>
      <c r="D29" s="18" t="inlineStr">
        <is>
          <t>VERIFIED — Zero drawn on $1.25B RCF, 10-K Note 9 p. 71</t>
        </is>
      </c>
    </row>
    <row r="30">
      <c r="B30" s="7" t="inlineStr">
        <is>
          <t>Net cash / Treasuries — Central ($B)</t>
        </is>
      </c>
      <c r="C30" s="56" t="n">
        <v>4.79</v>
      </c>
      <c r="D30" s="15" t="inlineStr">
        <is>
          <t>SUM</t>
        </is>
      </c>
    </row>
    <row r="33">
      <c r="A33" s="4" t="inlineStr">
        <is>
          <t>SUM OF THE PARTS — INTRINSIC VALUE vs. CURRENT MARKET CAP ($B)</t>
        </is>
      </c>
    </row>
    <row r="34">
      <c r="B34" s="5" t="inlineStr">
        <is>
          <t>Component</t>
        </is>
      </c>
      <c r="C34" s="5" t="inlineStr">
        <is>
          <t>Low</t>
        </is>
      </c>
      <c r="D34" s="5" t="inlineStr">
        <is>
          <t>Central</t>
        </is>
      </c>
      <c r="E34" s="5" t="inlineStr">
        <is>
          <t>High</t>
        </is>
      </c>
      <c r="F34" s="5" t="inlineStr">
        <is>
          <t>Basis</t>
        </is>
      </c>
    </row>
    <row r="35">
      <c r="B35" s="7" t="inlineStr">
        <is>
          <t>Going-concern owner earnings (18-22x on ~$1.5B)</t>
        </is>
      </c>
      <c r="C35" s="58" t="n">
        <v>27</v>
      </c>
      <c r="D35" s="58" t="n">
        <v>30</v>
      </c>
      <c r="E35" s="58" t="n">
        <v>33</v>
      </c>
      <c r="F35" s="15" t="inlineStr">
        <is>
          <t>Piece 1</t>
        </is>
      </c>
    </row>
    <row r="36">
      <c r="B36" s="9" t="inlineStr">
        <is>
          <t>Owned real estate at market / replacement</t>
        </is>
      </c>
      <c r="C36" s="58" t="n">
        <v>4.5</v>
      </c>
      <c r="D36" s="58" t="n">
        <v>5.25</v>
      </c>
      <c r="E36" s="58" t="n">
        <v>6</v>
      </c>
      <c r="F36" s="18" t="inlineStr">
        <is>
          <t>Piece 2</t>
        </is>
      </c>
    </row>
    <row r="37">
      <c r="B37" s="7" t="inlineStr">
        <is>
          <t>Cash + Treasuries at face</t>
        </is>
      </c>
      <c r="C37" s="58" t="n">
        <v>4.8</v>
      </c>
      <c r="D37" s="58" t="n">
        <v>4.8</v>
      </c>
      <c r="E37" s="58" t="n">
        <v>4.8</v>
      </c>
      <c r="F37" s="15" t="inlineStr">
        <is>
          <t>Piece 3</t>
        </is>
      </c>
    </row>
    <row r="38">
      <c r="B38" s="9" t="inlineStr">
        <is>
          <t>Less: double-count (RE depreciation in owner ern)</t>
        </is>
      </c>
      <c r="C38" s="58" t="n">
        <v>-1.5</v>
      </c>
      <c r="D38" s="58" t="n">
        <v>-2</v>
      </c>
      <c r="E38" s="58" t="n">
        <v>-2.5</v>
      </c>
      <c r="F38" s="18" t="inlineStr">
        <is>
          <t>Conservative overlap adjustment</t>
        </is>
      </c>
    </row>
    <row r="39">
      <c r="B39" s="29" t="inlineStr">
        <is>
          <t>Sum of the parts — intrinsic value</t>
        </is>
      </c>
      <c r="C39" s="59" t="n">
        <v>34.8</v>
      </c>
      <c r="D39" s="59" t="n">
        <v>38.1</v>
      </c>
      <c r="E39" s="59" t="n">
        <v>41.3</v>
      </c>
      <c r="F39" s="31" t="inlineStr">
        <is>
          <t>Sum of pieces net of overlap</t>
        </is>
      </c>
    </row>
    <row r="40">
      <c r="B40" s="9" t="inlineStr">
        <is>
          <t>Memo: Copart market cap at 7/2/2026</t>
        </is>
      </c>
      <c r="C40" s="43" t="inlineStr">
        <is>
          <t>—</t>
        </is>
      </c>
      <c r="D40" s="58" t="n">
        <v>27.8</v>
      </c>
      <c r="E40" s="43" t="inlineStr">
        <is>
          <t>—</t>
        </is>
      </c>
      <c r="F40" s="18" t="inlineStr">
        <is>
          <t>Yahoo Finance $30.01 × ~925.8M shares</t>
        </is>
      </c>
    </row>
    <row r="41">
      <c r="B41" s="7" t="inlineStr">
        <is>
          <t>Memo: Copart enterprise value (mkt cap – net cash)</t>
        </is>
      </c>
      <c r="C41" s="43" t="inlineStr">
        <is>
          <t>—</t>
        </is>
      </c>
      <c r="D41" s="58" t="n">
        <v>23</v>
      </c>
      <c r="E41" s="43" t="inlineStr">
        <is>
          <t>—</t>
        </is>
      </c>
      <c r="F41" s="15" t="inlineStr">
        <is>
          <t>$27.8B – $4.8B net cash</t>
        </is>
      </c>
    </row>
    <row r="42">
      <c r="B42" s="29" t="inlineStr">
        <is>
          <t>Gap: intrinsic vs. current market cap</t>
        </is>
      </c>
      <c r="C42" s="59" t="n">
        <v>7</v>
      </c>
      <c r="D42" s="59" t="n">
        <v>10.3</v>
      </c>
      <c r="E42" s="59" t="n">
        <v>13.5</v>
      </c>
      <c r="F42" s="31" t="inlineStr">
        <is>
          <t>Modest — most of it is real-estate uplift Berkshire can monetize</t>
        </is>
      </c>
    </row>
    <row r="45">
      <c r="A45" s="4" t="inlineStr">
        <is>
          <t>VERDICT — IS COPART UNDERVALUED IN ABSOLUTE DOLLAR TERMS?</t>
        </is>
      </c>
    </row>
    <row r="46" ht="170" customHeight="1">
      <c r="B46" s="10" t="inlineStr">
        <is>
          <t>Copart sum-of-the-parts intrinsic value is ~$38B at the central case, against a market cap of ~$27.8B — roughly a $10B intrinsic gap driven by real-estate market-vs.-book uplift Berkshire is uniquely positioned to underwrite and the two-sided-network-effect moat the multiple frame does not price. Copart is modestly undervalued in absolute dollars but is not deeply mispriced. The Berkshire thesis is a synergy thesis: Berkshire ownership adds ~$245M/yr of value creation (GEICO integration and international consolidation at Berkshire capital cost) that no other buyer could capture. Capitalized at Berkshire's discount rate over a two-plus-decade moat, that synergy stream justifies paying full or slightly-premium price today. This is the BNSF 2010 archetype: a wonderful business, at a fair price, held for the compounding runway.</t>
        </is>
      </c>
    </row>
    <row r="49">
      <c r="A49" s="12" t="inlineStr">
        <is>
          <t>HYPOTHETICAL — Not investment advice. Not a rumor. Educational practitioner case study. Baratelli Institute · 2026-07-02.</t>
        </is>
      </c>
    </row>
  </sheetData>
  <mergeCells count="1">
    <mergeCell ref="B46:F46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&amp;K3C3F45Intrinsic_Value&amp;R&amp;8 &amp;KC89000BARATELLI INSTITUTE  *  MENTORING AT SCALE</oddHeader>
    <oddFooter>&amp;L&amp;8 &amp;K3C3F45baratelliinstitute.com&amp;C&amp;8 &amp;K3C3F45Page &amp;P of &amp;N&amp;R&amp;8 &amp;K3C3F45Copart Berkshire 2026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E28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26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SENSITIVITY GRIDS — Three 3×3 Grids, One Per Driver</t>
        </is>
      </c>
    </row>
    <row r="2">
      <c r="A2" s="2" t="inlineStr">
        <is>
          <t>All grids in annual $ millions. Central case highlighted in cream.</t>
        </is>
      </c>
    </row>
    <row r="4">
      <c r="A4" s="4" t="inlineStr">
        <is>
          <t>GRID 1 — DRIVER 1 (GEICO) · Copart share of GEICO total-loss vol × per-vehicle op inc (annual $M)</t>
        </is>
      </c>
    </row>
    <row r="5">
      <c r="B5" s="60" t="inlineStr">
        <is>
          <t>Copart share ↓ / Op inc per vehicle →</t>
        </is>
      </c>
      <c r="C5" s="61" t="inlineStr">
        <is>
          <t>$350</t>
        </is>
      </c>
      <c r="D5" s="61" t="inlineStr">
        <is>
          <t>$438</t>
        </is>
      </c>
      <c r="E5" s="61" t="inlineStr">
        <is>
          <t>$525</t>
        </is>
      </c>
    </row>
    <row r="6">
      <c r="B6" s="61" t="inlineStr">
        <is>
          <t>50%</t>
        </is>
      </c>
      <c r="C6" s="42" t="n">
        <v>65</v>
      </c>
      <c r="D6" s="46" t="n">
        <v>82</v>
      </c>
      <c r="E6" s="42" t="n">
        <v>98</v>
      </c>
    </row>
    <row r="7">
      <c r="B7" s="61" t="inlineStr">
        <is>
          <t>65%</t>
        </is>
      </c>
      <c r="C7" s="46" t="n">
        <v>85</v>
      </c>
      <c r="D7" s="50" t="n">
        <v>106</v>
      </c>
      <c r="E7" s="46" t="n">
        <v>127</v>
      </c>
    </row>
    <row r="8">
      <c r="B8" s="61" t="inlineStr">
        <is>
          <t>80%</t>
        </is>
      </c>
      <c r="C8" s="42" t="n">
        <v>104</v>
      </c>
      <c r="D8" s="46" t="n">
        <v>131</v>
      </c>
      <c r="E8" s="42" t="n">
        <v>157</v>
      </c>
    </row>
    <row r="12">
      <c r="A12" s="4" t="inlineStr">
        <is>
          <t>GRID 2 — DRIVER 2 (International) · Annual deployment × ROIC (mature-year op inc, $M)</t>
        </is>
      </c>
    </row>
    <row r="13">
      <c r="B13" s="60" t="inlineStr">
        <is>
          <t>Deployment/yr ↓ / ROIC →</t>
        </is>
      </c>
      <c r="C13" s="61" t="inlineStr">
        <is>
          <t>10%</t>
        </is>
      </c>
      <c r="D13" s="61" t="inlineStr">
        <is>
          <t>15%</t>
        </is>
      </c>
      <c r="E13" s="61" t="inlineStr">
        <is>
          <t>20%</t>
        </is>
      </c>
    </row>
    <row r="14">
      <c r="B14" s="61" t="inlineStr">
        <is>
          <t>$300M</t>
        </is>
      </c>
      <c r="C14" s="42" t="n">
        <v>30</v>
      </c>
      <c r="D14" s="46" t="n">
        <v>45</v>
      </c>
      <c r="E14" s="42" t="n">
        <v>60</v>
      </c>
    </row>
    <row r="15">
      <c r="B15" s="61" t="inlineStr">
        <is>
          <t>$500M</t>
        </is>
      </c>
      <c r="C15" s="46" t="n">
        <v>50</v>
      </c>
      <c r="D15" s="50" t="n">
        <v>75</v>
      </c>
      <c r="E15" s="46" t="n">
        <v>100</v>
      </c>
    </row>
    <row r="16">
      <c r="B16" s="61" t="inlineStr">
        <is>
          <t>$750M</t>
        </is>
      </c>
      <c r="C16" s="42" t="n">
        <v>75</v>
      </c>
      <c r="D16" s="46" t="n">
        <v>112</v>
      </c>
      <c r="E16" s="42" t="n">
        <v>150</v>
      </c>
    </row>
    <row r="20">
      <c r="A20" s="4" t="inlineStr">
        <is>
          <t>(Driver 3 — real-estate optimization — removed in the two-driver model. See Assumptions tab for rationale.)</t>
        </is>
      </c>
    </row>
    <row r="21">
      <c r="B21" s="60" t="n"/>
      <c r="C21" s="61" t="n"/>
      <c r="D21" s="61" t="n"/>
      <c r="E21" s="61" t="n"/>
    </row>
    <row r="22">
      <c r="B22" s="61" t="n"/>
      <c r="C22" s="42" t="n"/>
      <c r="D22" s="46" t="n"/>
      <c r="E22" s="42" t="n"/>
    </row>
    <row r="23">
      <c r="B23" s="61" t="n"/>
      <c r="C23" s="46" t="n"/>
      <c r="D23" s="50" t="n"/>
      <c r="E23" s="46" t="n"/>
    </row>
    <row r="24">
      <c r="B24" s="61" t="n"/>
      <c r="C24" s="42" t="n"/>
      <c r="D24" s="46" t="n"/>
      <c r="E24" s="42" t="n"/>
    </row>
    <row r="26">
      <c r="B26" s="12" t="n"/>
    </row>
    <row r="28">
      <c r="A28" s="12" t="n"/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&amp;K3C3F45Sensitivity&amp;R&amp;8 &amp;KC89000BARATELLI INSTITUTE  *  MENTORING AT SCALE</oddHeader>
    <oddFooter>&amp;L&amp;8 &amp;K3C3F45baratelliinstitute.com&amp;C&amp;8 &amp;K3C3F45Page &amp;P of &amp;N&amp;R&amp;8 &amp;K3C3F45Copart Berkshire 2026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2026-07-03T22:45:55Z</dcterms:created>
  <dcterms:modified xmlns:dcterms="http://purl.org/dc/terms/" xmlns:xsi="http://www.w3.org/2001/XMLSchema-instance" xsi:type="dcterms:W3CDTF">2026-07-08T20:43:08Z</dcterms:modified>
</cp:coreProperties>
</file>