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INDEX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Sources_Uses" sheetId="4" state="visible" r:id="rId4"/>
    <sheet xmlns:r="http://schemas.openxmlformats.org/officeDocument/2006/relationships" name="Consortium" sheetId="5" state="visible" r:id="rId5"/>
    <sheet xmlns:r="http://schemas.openxmlformats.org/officeDocument/2006/relationships" name="Operating_Model" sheetId="6" state="visible" r:id="rId6"/>
    <sheet xmlns:r="http://schemas.openxmlformats.org/officeDocument/2006/relationships" name="Debt_Schedule" sheetId="7" state="visible" r:id="rId7"/>
    <sheet xmlns:r="http://schemas.openxmlformats.org/officeDocument/2006/relationships" name="Returns" sheetId="8" state="visible" r:id="rId8"/>
    <sheet xmlns:r="http://schemas.openxmlformats.org/officeDocument/2006/relationships" name="Sensitivity" sheetId="9" state="visible" r:id="rId9"/>
    <sheet xmlns:r="http://schemas.openxmlformats.org/officeDocument/2006/relationships" name="Scenarios" sheetId="10" state="visible" r:id="rId10"/>
  </sheets>
  <definedNames>
    <definedName name="_xlnm.Print_Titles" localSheetId="1">'INDEX'!$1:$3</definedName>
    <definedName name="_xlnm.Print_Area" localSheetId="1">'INDEX'!$A$1:$H$27</definedName>
    <definedName name="_xlnm.Print_Titles" localSheetId="2">'Assumptions'!$1:$3</definedName>
    <definedName name="_xlnm.Print_Area" localSheetId="2">'Assumptions'!$A$1:$H$31</definedName>
    <definedName name="_xlnm.Print_Titles" localSheetId="3">'Sources_Uses'!$1:$3</definedName>
    <definedName name="_xlnm.Print_Area" localSheetId="3">'Sources_Uses'!$A$1:$H$17</definedName>
    <definedName name="_xlnm.Print_Titles" localSheetId="4">'Consortium'!$1:$3</definedName>
    <definedName name="_xlnm.Print_Area" localSheetId="4">'Consortium'!$A$1:$H$18</definedName>
    <definedName name="_xlnm.Print_Titles" localSheetId="5">'Operating_Model'!$1:$3</definedName>
    <definedName name="_xlnm.Print_Area" localSheetId="5">'Operating_Model'!$A$1:$H$20</definedName>
    <definedName name="_xlnm.Print_Titles" localSheetId="6">'Debt_Schedule'!$1:$3</definedName>
    <definedName name="_xlnm.Print_Area" localSheetId="6">'Debt_Schedule'!$A$1:$H$19</definedName>
    <definedName name="_xlnm.Print_Titles" localSheetId="7">'Returns'!$1:$3</definedName>
    <definedName name="_xlnm.Print_Area" localSheetId="7">'Returns'!$A$1:$H$24</definedName>
    <definedName name="_xlnm.Print_Titles" localSheetId="8">'Sensitivity'!$1:$3</definedName>
    <definedName name="_xlnm.Print_Area" localSheetId="8">'Sensitivity'!$A$1:$H$10</definedName>
    <definedName name="_xlnm.Print_Titles" localSheetId="9">'Scenarios'!$1:$3</definedName>
    <definedName name="_xlnm.Print_Area" localSheetId="9">'Scenarios'!$A$1:$H$11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&quot;M&quot;"/>
    <numFmt numFmtId="165" formatCode="0.00&quot;x&quot;"/>
    <numFmt numFmtId="166" formatCode="0.0%"/>
  </numFmts>
  <fonts count="24">
    <font>
      <name val="Calibri"/>
      <family val="2"/>
      <color theme="1"/>
      <sz val="11"/>
      <scheme val="minor"/>
    </font>
    <font>
      <name val="Calibri"/>
      <b val="1"/>
      <color rgb="FF19264D"/>
      <sz val="18"/>
    </font>
    <font>
      <name val="Calibri"/>
      <i val="1"/>
      <color rgb="FF737373"/>
      <sz val="10"/>
    </font>
    <font>
      <name val="Calibri"/>
      <i val="1"/>
      <color rgb="FF737373"/>
      <sz val="9"/>
    </font>
    <font>
      <name val="Calibri"/>
      <b val="1"/>
      <color rgb="FF19264D"/>
      <sz val="14"/>
    </font>
    <font>
      <name val="Calibri"/>
      <b val="1"/>
      <color rgb="FF19264D"/>
      <sz val="11"/>
    </font>
    <font>
      <name val="Calibri"/>
      <b val="1"/>
      <color rgb="FF19264D"/>
      <sz val="10"/>
    </font>
    <font>
      <name val="Calibri"/>
      <color rgb="FF19264D"/>
      <sz val="10"/>
    </font>
    <font>
      <name val="Calibri"/>
      <b val="1"/>
      <color rgb="FFFFFFFF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0">
    <fill>
      <patternFill/>
    </fill>
    <fill>
      <patternFill patternType="gray125"/>
    </fill>
    <fill>
      <patternFill patternType="solid">
        <fgColor rgb="FFF8F0D9"/>
      </patternFill>
    </fill>
    <fill>
      <patternFill patternType="solid">
        <fgColor rgb="FFF5F4EF"/>
      </patternFill>
    </fill>
    <fill>
      <patternFill patternType="solid">
        <fgColor rgb="FF19264D"/>
      </patternFill>
    </fill>
    <fill>
      <patternFill patternType="solid">
        <fgColor rgb="FFFFF9C4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7">
    <border>
      <left/>
      <right/>
      <top/>
      <bottom/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</border>
    <border>
      <left style="thin">
        <color rgb="FF737373"/>
      </left>
      <right style="thin">
        <color rgb="FF737373"/>
      </right>
      <top style="medium">
        <color rgb="FF19264D"/>
      </top>
      <bottom style="thin">
        <color rgb="FF737373"/>
      </bottom>
    </border>
    <border>
      <left/>
      <right/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/>
      <right/>
      <top style="thin">
        <color rgb="FF737373"/>
      </top>
      <bottom style="thin">
        <color rgb="FF737373"/>
      </bottom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6" fillId="3" borderId="0" pivotButton="0" quotePrefix="0" xfId="0"/>
    <xf numFmtId="0" fontId="7" fillId="3" borderId="0" pivotButton="0" quotePrefix="0" xfId="0"/>
    <xf numFmtId="0" fontId="7" fillId="0" borderId="0" applyAlignment="1" pivotButton="0" quotePrefix="0" xfId="0">
      <alignment vertical="top" wrapText="1"/>
    </xf>
    <xf numFmtId="0" fontId="7" fillId="3" borderId="0" applyAlignment="1" pivotButton="0" quotePrefix="0" xfId="0">
      <alignment vertical="top" wrapText="1"/>
    </xf>
    <xf numFmtId="0" fontId="8" fillId="4" borderId="1" applyAlignment="1" pivotButton="0" quotePrefix="0" xfId="0">
      <alignment horizontal="center" vertical="center"/>
    </xf>
    <xf numFmtId="0" fontId="7" fillId="0" borderId="1" pivotButton="0" quotePrefix="0" xfId="0"/>
    <xf numFmtId="164" fontId="7" fillId="5" borderId="1" pivotButton="0" quotePrefix="0" xfId="0"/>
    <xf numFmtId="165" fontId="7" fillId="5" borderId="1" pivotButton="0" quotePrefix="0" xfId="0"/>
    <xf numFmtId="164" fontId="6" fillId="2" borderId="1" pivotButton="0" quotePrefix="0" xfId="0"/>
    <xf numFmtId="165" fontId="6" fillId="2" borderId="1" pivotButton="0" quotePrefix="0" xfId="0"/>
    <xf numFmtId="0" fontId="0" fillId="0" borderId="1" pivotButton="0" quotePrefix="0" xfId="0"/>
    <xf numFmtId="166" fontId="7" fillId="5" borderId="1" pivotButton="0" quotePrefix="0" xfId="0"/>
    <xf numFmtId="0" fontId="7" fillId="5" borderId="1" pivotButton="0" quotePrefix="0" xfId="0"/>
    <xf numFmtId="164" fontId="6" fillId="0" borderId="1" pivotButton="0" quotePrefix="0" xfId="0"/>
    <xf numFmtId="166" fontId="7" fillId="0" borderId="1" pivotButton="0" quotePrefix="0" xfId="0"/>
    <xf numFmtId="0" fontId="3" fillId="0" borderId="1" applyAlignment="1" pivotButton="0" quotePrefix="0" xfId="0">
      <alignment vertical="top" wrapText="1"/>
    </xf>
    <xf numFmtId="0" fontId="6" fillId="0" borderId="2" pivotButton="0" quotePrefix="0" xfId="0"/>
    <xf numFmtId="166" fontId="6" fillId="2" borderId="1" pivotButton="0" quotePrefix="0" xfId="0"/>
    <xf numFmtId="0" fontId="3" fillId="0" borderId="1" pivotButton="0" quotePrefix="0" xfId="0"/>
    <xf numFmtId="164" fontId="7" fillId="0" borderId="1" pivotButton="0" quotePrefix="0" xfId="0"/>
    <xf numFmtId="0" fontId="6" fillId="0" borderId="1" pivotButton="0" quotePrefix="0" xfId="0"/>
    <xf numFmtId="0" fontId="7" fillId="0" borderId="1" applyAlignment="1" pivotButton="0" quotePrefix="0" xfId="0">
      <alignment vertical="top" wrapText="1"/>
    </xf>
    <xf numFmtId="0" fontId="6" fillId="2" borderId="1" pivotButton="0" quotePrefix="0" xfId="0"/>
    <xf numFmtId="0" fontId="0" fillId="0" borderId="5" pivotButton="0" quotePrefix="0" xfId="0"/>
    <xf numFmtId="0" fontId="0" fillId="0" borderId="6" pivotButton="0" quotePrefix="0" xfId="0"/>
    <xf numFmtId="165" fontId="7" fillId="0" borderId="1" pivotButton="0" quotePrefix="0" xfId="0"/>
    <xf numFmtId="165" fontId="6" fillId="0" borderId="1" pivotButton="0" quotePrefix="0" xfId="0"/>
    <xf numFmtId="0" fontId="0" fillId="0" borderId="2" pivotButton="0" quotePrefix="0" xfId="0"/>
    <xf numFmtId="165" fontId="6" fillId="2" borderId="0" pivotButton="0" quotePrefix="0" xfId="0"/>
    <xf numFmtId="0" fontId="9" fillId="6" borderId="0" applyAlignment="1" pivotButton="0" quotePrefix="0" xfId="0">
      <alignment horizontal="center" vertical="center" wrapText="1"/>
    </xf>
    <xf numFmtId="0" fontId="10" fillId="7" borderId="0" applyAlignment="1" pivotButton="0" quotePrefix="0" xfId="0">
      <alignment horizontal="center" vertical="center" wrapText="1"/>
    </xf>
    <xf numFmtId="0" fontId="11" fillId="7" borderId="0" applyAlignment="1" pivotButton="0" quotePrefix="0" xfId="0">
      <alignment horizontal="center" vertical="center" wrapText="1"/>
    </xf>
    <xf numFmtId="0" fontId="12" fillId="6" borderId="0" applyAlignment="1" pivotButton="0" quotePrefix="0" xfId="0">
      <alignment horizontal="center" vertical="center" wrapText="1"/>
    </xf>
    <xf numFmtId="0" fontId="13" fillId="7" borderId="0" applyAlignment="1" pivotButton="0" quotePrefix="0" xfId="0">
      <alignment horizontal="left" vertical="center" wrapText="1" indent="1"/>
    </xf>
    <xf numFmtId="0" fontId="13" fillId="7" borderId="0" applyAlignment="1" pivotButton="0" quotePrefix="0" xfId="0">
      <alignment horizontal="center" vertical="center" wrapText="1"/>
    </xf>
    <xf numFmtId="0" fontId="14" fillId="8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16" fillId="7" borderId="0" applyAlignment="1" pivotButton="0" quotePrefix="0" xfId="0">
      <alignment horizontal="center" vertical="center" wrapText="1"/>
    </xf>
    <xf numFmtId="0" fontId="17" fillId="7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horizontal="center" vertical="center"/>
    </xf>
    <xf numFmtId="0" fontId="18" fillId="7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 wrapText="1"/>
    </xf>
    <xf numFmtId="0" fontId="20" fillId="6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center" vertical="center"/>
    </xf>
    <xf numFmtId="0" fontId="21" fillId="9" borderId="0" applyAlignment="1" pivotButton="0" quotePrefix="0" xfId="0">
      <alignment horizontal="center" vertical="center"/>
    </xf>
    <xf numFmtId="0" fontId="15" fillId="7" borderId="0" applyAlignment="1" pivotButton="0" quotePrefix="0" xfId="0">
      <alignment horizontal="center" vertical="center"/>
    </xf>
    <xf numFmtId="0" fontId="22" fillId="7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2" customHeight="1">
      <c r="A1" s="47" t="inlineStr">
        <is>
          <t>THE BARATELLI FINANCIAL MODELING TOOLKIT</t>
        </is>
      </c>
    </row>
    <row r="2" ht="22" customHeight="1">
      <c r="A2" s="48" t="inlineStr">
        <is>
          <t>Production templates for M&amp;A, valuation, PE, and 3-statement modeling</t>
        </is>
      </c>
    </row>
    <row r="3" ht="12" customHeight="1"/>
    <row r="4" ht="34" customHeight="1">
      <c r="A4" s="49" t="inlineStr">
        <is>
          <t>You are looking at one case study Excel model. The full Toolkit gives you the production templates blank-and-ready for YOUR own deals.</t>
        </is>
      </c>
    </row>
    <row r="5" ht="10" customHeight="1"/>
    <row r="6" ht="22" customHeight="1">
      <c r="A6" s="50" t="inlineStr">
        <is>
          <t>26 Excel templates + 50+ page methodology PDF</t>
        </is>
      </c>
    </row>
    <row r="7" ht="10" customHeight="1"/>
    <row r="8" ht="20" customHeight="1">
      <c r="A8" s="51" t="inlineStr">
        <is>
          <t>Built by CPAs, MBAs, and career practitioners</t>
        </is>
      </c>
    </row>
    <row r="9" ht="12" customHeight="1"/>
    <row r="10" ht="40" customHeight="1">
      <c r="A10" s="52" t="inlineStr">
        <is>
          <t>$99 USD</t>
        </is>
      </c>
    </row>
    <row r="11" ht="22" customHeight="1">
      <c r="A11" s="53" t="inlineStr">
        <is>
          <t>at gumroad.com/l/isetaw</t>
        </is>
      </c>
    </row>
    <row r="12" ht="10" customHeight="1"/>
    <row r="13" ht="18" customHeight="1">
      <c r="A13" s="54" t="inlineStr">
        <is>
          <t>Also available: £79 GBP · €89 EUR</t>
        </is>
      </c>
    </row>
    <row r="14" ht="10" customHeight="1"/>
    <row r="15" ht="20" customHeight="1">
      <c r="A15" s="54" t="inlineStr">
        <is>
          <t>Enterprise licensing available for firms. Contact enterprise@baratelliinstitute.com</t>
        </is>
      </c>
    </row>
    <row r="16" ht="10" customHeight="1"/>
    <row r="17" ht="20" customHeight="1">
      <c r="A17" s="55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1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36" customWidth="1" min="7" max="7"/>
  </cols>
  <sheetData>
    <row r="1">
      <c r="A1" s="1" t="inlineStr">
        <is>
          <t>EXIT SCENARIOS — Probability-Weighted Returns</t>
        </is>
      </c>
    </row>
    <row r="3">
      <c r="A3" s="4" t="inlineStr">
        <is>
          <t>EXIT SCENARIO COMPARISON</t>
        </is>
      </c>
    </row>
    <row r="4">
      <c r="B4" s="12" t="inlineStr">
        <is>
          <t>Scenario</t>
        </is>
      </c>
      <c r="C4" s="12" t="inlineStr">
        <is>
          <t>Exit Mult</t>
        </is>
      </c>
      <c r="D4" s="12" t="inlineStr">
        <is>
          <t>Exit EV ($M)</t>
        </is>
      </c>
      <c r="E4" s="12" t="inlineStr">
        <is>
          <t>MoM</t>
        </is>
      </c>
      <c r="F4" s="12" t="inlineStr">
        <is>
          <t>IRR</t>
        </is>
      </c>
      <c r="G4" s="12" t="inlineStr">
        <is>
          <t>Notes</t>
        </is>
      </c>
    </row>
    <row r="5" ht="32" customHeight="1">
      <c r="B5" s="28" t="inlineStr">
        <is>
          <t>Strategic to Apple (post-§355(e))</t>
        </is>
      </c>
      <c r="C5" s="15" t="n">
        <v>13.5</v>
      </c>
      <c r="D5" s="21">
        <f>C5*Operating_Model!H7</f>
        <v/>
      </c>
      <c r="E5" s="34">
        <f>(D5-Debt_Schedule!H18)/Assumptions!$C$11</f>
        <v/>
      </c>
      <c r="F5" s="25">
        <f>(E5)^(1/5)-1</f>
        <v/>
      </c>
      <c r="G5" s="23" t="inlineStr">
        <is>
          <t>Highest premium; Apple needs theme parks for Disney-grade integration; cleanest antitrust</t>
        </is>
      </c>
    </row>
    <row r="6" ht="32" customHeight="1">
      <c r="B6" s="28" t="inlineStr">
        <is>
          <t>Strategic to Disney (FTC remedies)</t>
        </is>
      </c>
      <c r="C6" s="15" t="n">
        <v>14</v>
      </c>
      <c r="D6" s="21">
        <f>C6*Operating_Model!H7</f>
        <v/>
      </c>
      <c r="E6" s="34">
        <f>(D6-Debt_Schedule!H18)/Assumptions!$C$11</f>
        <v/>
      </c>
      <c r="F6" s="25">
        <f>(E6)^(1/5)-1</f>
        <v/>
      </c>
      <c r="G6" s="23" t="inlineStr">
        <is>
          <t>Highest multiple if Disney clears FTC; requires Universal Beijing / Hollywood divestiture</t>
        </is>
      </c>
    </row>
    <row r="7" ht="32" customHeight="1">
      <c r="B7" s="28" t="inlineStr">
        <is>
          <t>IPO at premium peer multiple</t>
        </is>
      </c>
      <c r="C7" s="15" t="n">
        <v>13</v>
      </c>
      <c r="D7" s="21">
        <f>C7*Operating_Model!H7</f>
        <v/>
      </c>
      <c r="E7" s="34">
        <f>(D7-Debt_Schedule!H18)/Assumptions!$C$11</f>
        <v/>
      </c>
      <c r="F7" s="25">
        <f>(E7)^(1/5)-1</f>
        <v/>
      </c>
      <c r="G7" s="23" t="inlineStr">
        <is>
          <t>Universal Theme Parks IPO at Disney Parks-comparable multiple</t>
        </is>
      </c>
    </row>
    <row r="8" ht="32" customHeight="1">
      <c r="B8" s="28" t="inlineStr">
        <is>
          <t>Asset sale (PE secondary)</t>
        </is>
      </c>
      <c r="C8" s="15" t="n">
        <v>11</v>
      </c>
      <c r="D8" s="21">
        <f>C8*Operating_Model!H7</f>
        <v/>
      </c>
      <c r="E8" s="34">
        <f>(D8-Debt_Schedule!H18)/Assumptions!$C$11</f>
        <v/>
      </c>
      <c r="F8" s="25">
        <f>(E8)^(1/5)-1</f>
        <v/>
      </c>
      <c r="G8" s="23" t="inlineStr">
        <is>
          <t>PE-to-PE secondary; lower multiple; faster execution</t>
        </is>
      </c>
    </row>
    <row r="9" ht="32" customHeight="1">
      <c r="B9" s="28" t="inlineStr">
        <is>
          <t>Hold longer (extend to Yr 7)</t>
        </is>
      </c>
      <c r="C9" s="15" t="n">
        <v>12.5</v>
      </c>
      <c r="D9" s="21">
        <f>C9*Operating_Model!H7</f>
        <v/>
      </c>
      <c r="E9" s="34">
        <f>(D9-Debt_Schedule!H18)/Assumptions!$C$11</f>
        <v/>
      </c>
      <c r="F9" s="25">
        <f>(E9)^(1/5)-1</f>
        <v/>
      </c>
      <c r="G9" s="23" t="inlineStr">
        <is>
          <t>If exit window weak; additional 2 years of compounding</t>
        </is>
      </c>
    </row>
    <row r="11">
      <c r="B11" s="35" t="n"/>
      <c r="E11" s="36">
        <f>(0.40*E5+0.10*E6+0.25*E7+0.20*E8+0.05*E9)</f>
        <v/>
      </c>
    </row>
  </sheetData>
  <mergeCells count="2">
    <mergeCell ref="A3:H3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&amp;K3C3F45Scenarios&amp;CExit Scenarios&amp;R&amp;8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27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78" customWidth="1" min="3" max="3"/>
  </cols>
  <sheetData>
    <row r="1" ht="26" customHeight="1">
      <c r="A1" s="1" t="inlineStr">
        <is>
          <t>UNIVERSAL THEME PARKS — PE CONSORTIUM LBO MODEL</t>
        </is>
      </c>
    </row>
    <row r="2">
      <c r="A2" s="2" t="inlineStr">
        <is>
          <t>Baratelli Institute  |  Comcast Separation Case Study  |  PE Acquisition Scenario</t>
        </is>
      </c>
    </row>
    <row r="3">
      <c r="A3" s="3" t="inlineStr">
        <is>
          <t>Source: Comcast 10-K 2025 (Theme Parks segment); peer LBO precedents (SeaWorld, Cedar Fair-Six Flags, Merlin); PE returns data</t>
        </is>
      </c>
    </row>
    <row r="5">
      <c r="A5" s="4" t="inlineStr">
        <is>
          <t>MODEL CONTENTS</t>
        </is>
      </c>
    </row>
    <row r="6">
      <c r="B6" s="5" t="inlineStr">
        <is>
          <t>Tab</t>
        </is>
      </c>
      <c r="C6" s="5" t="inlineStr">
        <is>
          <t>Description</t>
        </is>
      </c>
    </row>
    <row r="7">
      <c r="B7" s="6" t="inlineStr">
        <is>
          <t>INDEX</t>
        </is>
      </c>
      <c r="C7" s="7" t="inlineStr">
        <is>
          <t>This page. Navigation and scenario overview.</t>
        </is>
      </c>
    </row>
    <row r="8">
      <c r="B8" s="8" t="inlineStr">
        <is>
          <t>Assumptions</t>
        </is>
      </c>
      <c r="C8" s="9" t="inlineStr">
        <is>
          <t>All operating, financing, and exit assumptions. YELLOW cells are inputs.</t>
        </is>
      </c>
    </row>
    <row r="9">
      <c r="B9" s="6" t="inlineStr">
        <is>
          <t>Sources_Uses</t>
        </is>
      </c>
      <c r="C9" s="7" t="inlineStr">
        <is>
          <t>$37B purchase price funded by senior debt + mezzanine + consortium equity.</t>
        </is>
      </c>
    </row>
    <row r="10">
      <c r="B10" s="8" t="inlineStr">
        <is>
          <t>Consortium</t>
        </is>
      </c>
      <c r="C10" s="9" t="inlineStr">
        <is>
          <t>Five PE / strategic equity sources with check sizes, ownership, and committee seats.</t>
        </is>
      </c>
    </row>
    <row r="11">
      <c r="B11" s="6" t="inlineStr">
        <is>
          <t>Operating_Model</t>
        </is>
      </c>
      <c r="C11" s="7" t="inlineStr">
        <is>
          <t>Five-year P&amp;L: revenue growth, margin expansion, EBITDA build.</t>
        </is>
      </c>
    </row>
    <row r="12">
      <c r="B12" s="8" t="inlineStr">
        <is>
          <t>Debt_Schedule</t>
        </is>
      </c>
      <c r="C12" s="9" t="inlineStr">
        <is>
          <t>TLB and mezzanine schedule: interest, mandatory amortization, sweeps.</t>
        </is>
      </c>
    </row>
    <row r="13">
      <c r="B13" s="6" t="inlineStr">
        <is>
          <t>Returns</t>
        </is>
      </c>
      <c r="C13" s="7" t="inlineStr">
        <is>
          <t>Year 5 exit at strategic premium; sponsor-by-sponsor MoM and IRR.</t>
        </is>
      </c>
    </row>
    <row r="14">
      <c r="B14" s="8" t="inlineStr">
        <is>
          <t>Sensitivity</t>
        </is>
      </c>
      <c r="C14" s="9" t="inlineStr">
        <is>
          <t>Entry / exit multiple and revenue growth sensitivity grid.</t>
        </is>
      </c>
    </row>
    <row r="15">
      <c r="B15" s="6" t="inlineStr">
        <is>
          <t>Scenarios</t>
        </is>
      </c>
      <c r="C15" s="7" t="inlineStr">
        <is>
          <t>Three exit paths: Apple strategic, IPO at 14x, asset sale at 11x.</t>
        </is>
      </c>
    </row>
    <row r="17">
      <c r="A17" s="4" t="inlineStr">
        <is>
          <t>DEAL HEADLINE</t>
        </is>
      </c>
    </row>
    <row r="18">
      <c r="B18" s="6" t="inlineStr">
        <is>
          <t>Target</t>
        </is>
      </c>
      <c r="C18" s="10" t="inlineStr">
        <is>
          <t>Universal Theme Parks (carve-out from NBCUniversal post-spin)</t>
        </is>
      </c>
    </row>
    <row r="19">
      <c r="B19" s="8" t="inlineStr">
        <is>
          <t>Sponsor</t>
        </is>
      </c>
      <c r="C19" s="11" t="inlineStr">
        <is>
          <t>PE consortium led by Blackstone; Apollo, KKR, SWF anchor (GIC / Mubadala / ADIA) — v4: Berkshire pursues whole NBCU separately</t>
        </is>
      </c>
    </row>
    <row r="20">
      <c r="B20" s="6" t="inlineStr">
        <is>
          <t>Purchase price (EV)</t>
        </is>
      </c>
      <c r="C20" s="10" t="inlineStr">
        <is>
          <t>$37.0 billion at 12.0x 2025 Adjusted EBITDA of $3.08B</t>
        </is>
      </c>
    </row>
    <row r="21">
      <c r="B21" s="8" t="inlineStr">
        <is>
          <t>Capital structure</t>
        </is>
      </c>
      <c r="C21" s="11" t="inlineStr">
        <is>
          <t>$15B Term Loan B + $5B Mezz / 2L + $17B Equity</t>
        </is>
      </c>
    </row>
    <row r="22">
      <c r="B22" s="6" t="inlineStr">
        <is>
          <t>Total leverage</t>
        </is>
      </c>
      <c r="C22" s="10" t="inlineStr">
        <is>
          <t>6.5x debt / EBITDA at close</t>
        </is>
      </c>
    </row>
    <row r="23">
      <c r="B23" s="8" t="inlineStr">
        <is>
          <t>Hold period</t>
        </is>
      </c>
      <c r="C23" s="11" t="inlineStr">
        <is>
          <t>5 years (mid-2030 exit target)</t>
        </is>
      </c>
    </row>
    <row r="24">
      <c r="B24" s="6" t="inlineStr">
        <is>
          <t>Exit path (base)</t>
        </is>
      </c>
      <c r="C24" s="10" t="inlineStr">
        <is>
          <t>Strategic sale to Apple or Berkshire at 13.5x EBITDA (post §355(e) window expiration)</t>
        </is>
      </c>
    </row>
    <row r="25">
      <c r="B25" s="8" t="inlineStr">
        <is>
          <t>Base-case sponsor IRR</t>
        </is>
      </c>
      <c r="C25" s="11" t="inlineStr">
        <is>
          <t>~19% on $17B aggregate equity; ~2.5x MoM</t>
        </is>
      </c>
    </row>
    <row r="26">
      <c r="B26" s="6" t="inlineStr">
        <is>
          <t>SWF anchor rationale</t>
        </is>
      </c>
      <c r="C26" s="10" t="inlineStr">
        <is>
          <t>Long-duration sovereign capital; passive; lower fee load on $5B upsize check</t>
        </is>
      </c>
    </row>
    <row r="27">
      <c r="B27" s="8" t="inlineStr">
        <is>
          <t>Antitrust</t>
        </is>
      </c>
      <c r="C27" s="11" t="inlineStr">
        <is>
          <t>PE consortium clears antitrust (no horizontal overlap); Disney path was blocked by FTC concerns</t>
        </is>
      </c>
    </row>
  </sheetData>
  <mergeCells count="3">
    <mergeCell ref="A17:H17"/>
    <mergeCell ref="A5:H5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&amp;K3C3F45INDEX&amp;CPE LBO Model — Universal Theme Parks — Index&amp;R&amp;8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31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INPUTS — All Driver Assumptions (YELLOW)</t>
        </is>
      </c>
    </row>
    <row r="2">
      <c r="A2" s="3" t="inlineStr">
        <is>
          <t>$ in millions unless noted</t>
        </is>
      </c>
    </row>
    <row r="4">
      <c r="A4" s="4" t="inlineStr">
        <is>
          <t>A. ENTRY VALUATION</t>
        </is>
      </c>
    </row>
    <row r="5">
      <c r="B5" s="12" t="inlineStr">
        <is>
          <t>Metric</t>
        </is>
      </c>
      <c r="C5" s="12" t="inlineStr">
        <is>
          <t>Value</t>
        </is>
      </c>
    </row>
    <row r="6">
      <c r="B6" s="13" t="inlineStr">
        <is>
          <t>2025 Theme Parks Adjusted EBITDA ($M)</t>
        </is>
      </c>
      <c r="C6" s="14" t="n">
        <v>3080</v>
      </c>
    </row>
    <row r="7">
      <c r="B7" s="13" t="inlineStr">
        <is>
          <t>Entry EV/EBITDA multiple</t>
        </is>
      </c>
      <c r="C7" s="15" t="n">
        <v>12</v>
      </c>
    </row>
    <row r="8">
      <c r="B8" s="13" t="inlineStr">
        <is>
          <t>Entry Enterprise Value ($M)</t>
        </is>
      </c>
      <c r="C8" s="16">
        <f>C6*C7</f>
        <v/>
      </c>
    </row>
    <row r="9">
      <c r="B9" s="13" t="inlineStr">
        <is>
          <t>Less: Senior debt (TLB)</t>
        </is>
      </c>
      <c r="C9" s="14" t="n">
        <v>15000</v>
      </c>
    </row>
    <row r="10">
      <c r="B10" s="13" t="inlineStr">
        <is>
          <t>Less: Mezzanine / 2L</t>
        </is>
      </c>
      <c r="C10" s="14" t="n">
        <v>5000</v>
      </c>
    </row>
    <row r="11">
      <c r="B11" s="13" t="inlineStr">
        <is>
          <t>Equity check (total)</t>
        </is>
      </c>
      <c r="C11" s="16">
        <f>C8-C9-C10</f>
        <v/>
      </c>
    </row>
    <row r="12">
      <c r="B12" s="13" t="inlineStr">
        <is>
          <t>Leverage at close (debt/EBITDA)</t>
        </is>
      </c>
      <c r="C12" s="17">
        <f>(C9+C10)/C6</f>
        <v/>
      </c>
    </row>
    <row r="14">
      <c r="A14" s="4" t="inlineStr">
        <is>
          <t>B. OPERATING ASSUMPTIONS (5-Year Forecast)</t>
        </is>
      </c>
    </row>
    <row r="15">
      <c r="B15" s="12" t="inlineStr">
        <is>
          <t>Metric</t>
        </is>
      </c>
      <c r="C15" s="12" t="inlineStr">
        <is>
          <t>Yr 0 (2025)</t>
        </is>
      </c>
      <c r="D15" s="12" t="inlineStr">
        <is>
          <t>Yr 1</t>
        </is>
      </c>
      <c r="E15" s="12" t="inlineStr">
        <is>
          <t>Yr 2</t>
        </is>
      </c>
      <c r="F15" s="12" t="inlineStr">
        <is>
          <t>Yr 3</t>
        </is>
      </c>
      <c r="G15" s="12" t="inlineStr">
        <is>
          <t>Yr 4</t>
        </is>
      </c>
      <c r="H15" s="12" t="inlineStr">
        <is>
          <t>Yr 5 (Exit)</t>
        </is>
      </c>
    </row>
    <row r="16">
      <c r="B16" s="13" t="inlineStr">
        <is>
          <t>Revenue growth %</t>
        </is>
      </c>
      <c r="C16" s="18" t="inlineStr"/>
      <c r="D16" s="19" t="n">
        <v>0.06</v>
      </c>
      <c r="E16" s="19" t="n">
        <v>0.07000000000000001</v>
      </c>
      <c r="F16" s="19" t="n">
        <v>0.06</v>
      </c>
      <c r="G16" s="19" t="n">
        <v>0.055</v>
      </c>
      <c r="H16" s="19" t="n">
        <v>0.05</v>
      </c>
    </row>
    <row r="17">
      <c r="B17" s="13" t="inlineStr">
        <is>
          <t>EBITDA margin %</t>
        </is>
      </c>
      <c r="C17" s="19" t="n">
        <v>0.313</v>
      </c>
      <c r="D17" s="19" t="n">
        <v>0.315</v>
      </c>
      <c r="E17" s="19" t="n">
        <v>0.32</v>
      </c>
      <c r="F17" s="19" t="n">
        <v>0.325</v>
      </c>
      <c r="G17" s="19" t="n">
        <v>0.33</v>
      </c>
      <c r="H17" s="19" t="n">
        <v>0.335</v>
      </c>
    </row>
    <row r="18">
      <c r="B18" s="13" t="inlineStr">
        <is>
          <t>Capex % of revenue</t>
        </is>
      </c>
      <c r="C18" s="19" t="n">
        <v>0.18</v>
      </c>
      <c r="D18" s="19" t="n">
        <v>0.16</v>
      </c>
      <c r="E18" s="19" t="n">
        <v>0.14</v>
      </c>
      <c r="F18" s="19" t="n">
        <v>0.13</v>
      </c>
      <c r="G18" s="19" t="n">
        <v>0.12</v>
      </c>
      <c r="H18" s="19" t="n">
        <v>0.115</v>
      </c>
    </row>
    <row r="19">
      <c r="B19" s="13" t="inlineStr">
        <is>
          <t>D&amp;A % of revenue</t>
        </is>
      </c>
      <c r="C19" s="19" t="n">
        <v>0.1</v>
      </c>
      <c r="D19" s="19" t="n">
        <v>0.1</v>
      </c>
      <c r="E19" s="19" t="n">
        <v>0.1</v>
      </c>
      <c r="F19" s="19" t="n">
        <v>0.1</v>
      </c>
      <c r="G19" s="19" t="n">
        <v>0.1</v>
      </c>
      <c r="H19" s="19" t="n">
        <v>0.1</v>
      </c>
    </row>
    <row r="20">
      <c r="B20" s="13" t="inlineStr">
        <is>
          <t>Effective tax rate</t>
        </is>
      </c>
      <c r="C20" s="19" t="n">
        <v>0.24</v>
      </c>
    </row>
    <row r="21">
      <c r="B21" s="13" t="inlineStr">
        <is>
          <t>TLB interest rate (SOFR + spread)</t>
        </is>
      </c>
      <c r="C21" s="19" t="n">
        <v>0.08500000000000001</v>
      </c>
    </row>
    <row r="22">
      <c r="B22" s="13" t="inlineStr">
        <is>
          <t>Mezzanine interest rate</t>
        </is>
      </c>
      <c r="C22" s="19" t="n">
        <v>0.12</v>
      </c>
    </row>
    <row r="23">
      <c r="B23" s="13" t="inlineStr">
        <is>
          <t>TLB mandatory amort % per year</t>
        </is>
      </c>
      <c r="C23" s="19" t="n">
        <v>0.01</v>
      </c>
    </row>
    <row r="24">
      <c r="B24" s="13" t="inlineStr">
        <is>
          <t>Cash sweep % of excess cash</t>
        </is>
      </c>
      <c r="C24" s="19" t="n">
        <v>0.75</v>
      </c>
    </row>
    <row r="26">
      <c r="A26" s="4" t="inlineStr">
        <is>
          <t>C. EXIT ASSUMPTIONS</t>
        </is>
      </c>
    </row>
    <row r="27">
      <c r="B27" s="12" t="inlineStr">
        <is>
          <t>Exit Path</t>
        </is>
      </c>
      <c r="C27" s="12" t="inlineStr">
        <is>
          <t>Year</t>
        </is>
      </c>
      <c r="D27" s="12" t="inlineStr">
        <is>
          <t>Exit EBITDA Multiple</t>
        </is>
      </c>
      <c r="E27" s="12" t="inlineStr">
        <is>
          <t>Probability</t>
        </is>
      </c>
    </row>
    <row r="28">
      <c r="B28" s="13" t="inlineStr">
        <is>
          <t>Strategic sale to Apple</t>
        </is>
      </c>
      <c r="C28" s="20" t="n">
        <v>5</v>
      </c>
      <c r="D28" s="15" t="n">
        <v>13.5</v>
      </c>
      <c r="E28" s="19" t="n">
        <v>0.4</v>
      </c>
    </row>
    <row r="29">
      <c r="B29" s="13" t="inlineStr">
        <is>
          <t>IPO at peer multiple</t>
        </is>
      </c>
      <c r="C29" s="20" t="n">
        <v>5</v>
      </c>
      <c r="D29" s="15" t="n">
        <v>13</v>
      </c>
      <c r="E29" s="19" t="n">
        <v>0.25</v>
      </c>
    </row>
    <row r="30">
      <c r="B30" s="13" t="inlineStr">
        <is>
          <t>Asset sale (PE secondary)</t>
        </is>
      </c>
      <c r="C30" s="20" t="n">
        <v>5</v>
      </c>
      <c r="D30" s="15" t="n">
        <v>11</v>
      </c>
      <c r="E30" s="19" t="n">
        <v>0.25</v>
      </c>
    </row>
    <row r="31">
      <c r="B31" s="13" t="inlineStr">
        <is>
          <t>Hold longer (extend to Yr 7)</t>
        </is>
      </c>
      <c r="C31" s="20" t="n">
        <v>7</v>
      </c>
      <c r="D31" s="15" t="n">
        <v>12.5</v>
      </c>
      <c r="E31" s="19" t="n">
        <v>0.1</v>
      </c>
    </row>
  </sheetData>
  <mergeCells count="4">
    <mergeCell ref="A4:H4"/>
    <mergeCell ref="A26:H26"/>
    <mergeCell ref="A14:H14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&amp;K3C3F45Assumptions&amp;CAssumptions&amp;R&amp;8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16" customWidth="1" min="3" max="3"/>
    <col width="12" customWidth="1" min="4" max="4"/>
    <col width="16" customWidth="1" min="5" max="5"/>
  </cols>
  <sheetData>
    <row r="1">
      <c r="A1" s="1" t="inlineStr">
        <is>
          <t>SOURCES &amp; USES</t>
        </is>
      </c>
    </row>
    <row r="2">
      <c r="A2" s="3" t="inlineStr">
        <is>
          <t>$ in millions</t>
        </is>
      </c>
    </row>
    <row r="4">
      <c r="A4" s="4" t="inlineStr">
        <is>
          <t>SOURCES</t>
        </is>
      </c>
    </row>
    <row r="5">
      <c r="B5" s="12" t="inlineStr">
        <is>
          <t>Source</t>
        </is>
      </c>
      <c r="C5" s="12" t="inlineStr">
        <is>
          <t>Amount</t>
        </is>
      </c>
      <c r="D5" s="12" t="inlineStr">
        <is>
          <t>% of EV</t>
        </is>
      </c>
      <c r="E5" s="12" t="inlineStr">
        <is>
          <t>Notes</t>
        </is>
      </c>
    </row>
    <row r="6">
      <c r="B6" s="13" t="inlineStr">
        <is>
          <t>Term Loan B (TLB)</t>
        </is>
      </c>
      <c r="C6" s="21">
        <f>Assumptions!C9</f>
        <v/>
      </c>
      <c r="D6" s="22">
        <f>C6/$C$9</f>
        <v/>
      </c>
      <c r="E6" s="23" t="inlineStr">
        <is>
          <t>B+L SOFR + 350-400 bps; 7-yr maturity; 1% mandatory amort</t>
        </is>
      </c>
    </row>
    <row r="7">
      <c r="B7" s="13" t="inlineStr">
        <is>
          <t>Mezzanine / Second Lien</t>
        </is>
      </c>
      <c r="C7" s="21">
        <f>Assumptions!C10</f>
        <v/>
      </c>
      <c r="D7" s="22">
        <f>C7/$C$9</f>
        <v/>
      </c>
      <c r="E7" s="23" t="inlineStr">
        <is>
          <t>12% cash coupon; 8-yr maturity; HoldCo / OpCo structure</t>
        </is>
      </c>
    </row>
    <row r="8">
      <c r="B8" s="13" t="inlineStr">
        <is>
          <t>Sponsor Equity (Consortium)</t>
        </is>
      </c>
      <c r="C8" s="21">
        <f>Assumptions!C11</f>
        <v/>
      </c>
      <c r="D8" s="22">
        <f>C8/$C$9</f>
        <v/>
      </c>
      <c r="E8" s="23" t="inlineStr">
        <is>
          <t>$17B total — 5 sponsors per Consortium tab</t>
        </is>
      </c>
    </row>
    <row r="9">
      <c r="B9" s="24" t="inlineStr">
        <is>
          <t>TOTAL SOURCES</t>
        </is>
      </c>
      <c r="C9" s="16">
        <f>SUM(C6:C8)</f>
        <v/>
      </c>
      <c r="D9" s="25">
        <f>SUM(D6:D8)</f>
        <v/>
      </c>
    </row>
    <row r="11">
      <c r="A11" s="4" t="inlineStr">
        <is>
          <t>USES</t>
        </is>
      </c>
    </row>
    <row r="12">
      <c r="B12" s="12" t="inlineStr">
        <is>
          <t>Use</t>
        </is>
      </c>
      <c r="C12" s="12" t="inlineStr">
        <is>
          <t>Amount</t>
        </is>
      </c>
      <c r="D12" s="12" t="inlineStr">
        <is>
          <t>% of EV</t>
        </is>
      </c>
      <c r="E12" s="12" t="inlineStr">
        <is>
          <t>Notes</t>
        </is>
      </c>
    </row>
    <row r="13">
      <c r="B13" s="13" t="inlineStr">
        <is>
          <t>Purchase consideration (Equity Value)</t>
        </is>
      </c>
      <c r="C13" s="21">
        <f>Assumptions!C8 - 5000</f>
        <v/>
      </c>
      <c r="D13" s="22">
        <f>C13/$C$17</f>
        <v/>
      </c>
      <c r="E13" s="26" t="inlineStr">
        <is>
          <t>Purchase price net of assumed net debt (illustrative)</t>
        </is>
      </c>
    </row>
    <row r="14">
      <c r="B14" s="13" t="inlineStr">
        <is>
          <t>Assumed net debt (Theme Parks segment)</t>
        </is>
      </c>
      <c r="C14" s="27" t="n">
        <v>5000</v>
      </c>
      <c r="D14" s="22">
        <f>C14/$C$17</f>
        <v/>
      </c>
      <c r="E14" s="26" t="inlineStr">
        <is>
          <t>Allocated debt and minority interests</t>
        </is>
      </c>
    </row>
    <row r="15">
      <c r="B15" s="13" t="inlineStr">
        <is>
          <t>Transaction fees &amp; financing costs</t>
        </is>
      </c>
      <c r="C15" s="27" t="n">
        <v>600</v>
      </c>
      <c r="D15" s="22">
        <f>C15/$C$17</f>
        <v/>
      </c>
      <c r="E15" s="26" t="inlineStr">
        <is>
          <t>M&amp;A advisory, financing fees, legal — ~1.6% of EV</t>
        </is>
      </c>
    </row>
    <row r="16">
      <c r="B16" s="13" t="inlineStr">
        <is>
          <t>Other (escrow, working capital adj.)</t>
        </is>
      </c>
      <c r="C16" s="27" t="n">
        <v>400</v>
      </c>
      <c r="D16" s="22">
        <f>C16/$C$17</f>
        <v/>
      </c>
      <c r="E16" s="26" t="inlineStr">
        <is>
          <t>Reserved for post-close adjustments</t>
        </is>
      </c>
    </row>
    <row r="17">
      <c r="B17" s="24" t="inlineStr">
        <is>
          <t>TOTAL USES</t>
        </is>
      </c>
      <c r="C17" s="16">
        <f>SUM(C13:C16)</f>
        <v/>
      </c>
    </row>
  </sheetData>
  <mergeCells count="3">
    <mergeCell ref="A4:H4"/>
    <mergeCell ref="A11:H11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&amp;K3C3F45Sources_Uses&amp;CSources &amp; Uses&amp;R&amp;8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2" customWidth="1" min="4" max="4"/>
    <col width="14" customWidth="1" min="5" max="5"/>
    <col width="38" customWidth="1" min="6" max="6"/>
  </cols>
  <sheetData>
    <row r="1">
      <c r="A1" s="1" t="inlineStr">
        <is>
          <t>EQUITY CONSORTIUM — $17.0 Billion Aggregate</t>
        </is>
      </c>
    </row>
    <row r="2">
      <c r="A2" s="3" t="inlineStr">
        <is>
          <t>Four-sponsor consortium; Blackstone as lead; sovereign-wealth anchor (no Berkshire — Berkshire pursues whole-NBCU directly, per v4 thesis)</t>
        </is>
      </c>
    </row>
    <row r="4">
      <c r="A4" s="4" t="inlineStr">
        <is>
          <t>EQUITY SOURCES</t>
        </is>
      </c>
    </row>
    <row r="5">
      <c r="B5" s="12" t="inlineStr">
        <is>
          <t>Sponsor</t>
        </is>
      </c>
      <c r="C5" s="12" t="inlineStr">
        <is>
          <t>Check Size</t>
        </is>
      </c>
      <c r="D5" s="12" t="inlineStr">
        <is>
          <t>% of Equity</t>
        </is>
      </c>
      <c r="E5" s="12" t="inlineStr">
        <is>
          <t>Board Seats</t>
        </is>
      </c>
      <c r="F5" s="12" t="inlineStr">
        <is>
          <t>Strategic Role</t>
        </is>
      </c>
    </row>
    <row r="6" ht="36" customHeight="1">
      <c r="B6" s="28" t="inlineStr">
        <is>
          <t>Blackstone (lead)</t>
        </is>
      </c>
      <c r="C6" s="14" t="n">
        <v>5000</v>
      </c>
      <c r="D6" s="22">
        <f>C6/$C$10</f>
        <v/>
      </c>
      <c r="E6" s="13" t="n">
        <v>1</v>
      </c>
      <c r="F6" s="29" t="inlineStr">
        <is>
          <t>Lead — Theme Parks operating thesis (Bellagio, theme park operations); deal origination</t>
        </is>
      </c>
    </row>
    <row r="7" ht="36" customHeight="1">
      <c r="B7" s="28" t="inlineStr">
        <is>
          <t>Apollo</t>
        </is>
      </c>
      <c r="C7" s="14" t="n">
        <v>4000</v>
      </c>
      <c r="D7" s="22">
        <f>C7/$C$10</f>
        <v/>
      </c>
      <c r="E7" s="13" t="n">
        <v>1</v>
      </c>
      <c r="F7" s="29" t="inlineStr">
        <is>
          <t>Returns optimization; capital structure expertise; refinancing strategy</t>
        </is>
      </c>
    </row>
    <row r="8" ht="36" customHeight="1">
      <c r="B8" s="28" t="inlineStr">
        <is>
          <t>KKR</t>
        </is>
      </c>
      <c r="C8" s="14" t="n">
        <v>3000</v>
      </c>
      <c r="D8" s="22">
        <f>C8/$C$10</f>
        <v/>
      </c>
      <c r="E8" s="13" t="n">
        <v>1</v>
      </c>
      <c r="F8" s="29" t="inlineStr">
        <is>
          <t>Consumer / experiences operating bench; talent and management oversight</t>
        </is>
      </c>
    </row>
    <row r="9" ht="36" customHeight="1">
      <c r="B9" s="28" t="inlineStr">
        <is>
          <t>SWF consortium (GIC / Mubadala / ADIA)</t>
        </is>
      </c>
      <c r="C9" s="14" t="n">
        <v>5000</v>
      </c>
      <c r="D9" s="22">
        <f>C9/$C$10</f>
        <v/>
      </c>
      <c r="E9" s="13" t="n">
        <v>0</v>
      </c>
      <c r="F9" s="29" t="inlineStr">
        <is>
          <t>Sovereign-wealth anchor; passive long-term capital; lower fee load — upsized in lieu of Berkshire LP per v4 thesis</t>
        </is>
      </c>
    </row>
    <row r="10">
      <c r="B10" s="24" t="inlineStr">
        <is>
          <t>TOTAL EQUITY</t>
        </is>
      </c>
      <c r="C10" s="16">
        <f>SUM(C6:C9)</f>
        <v/>
      </c>
      <c r="D10" s="25">
        <f>SUM(D6:D9)</f>
        <v/>
      </c>
      <c r="E10" s="30">
        <f>SUM(E6:E9)</f>
        <v/>
      </c>
    </row>
    <row r="12">
      <c r="A12" s="4" t="inlineStr">
        <is>
          <t>GOVERNANCE</t>
        </is>
      </c>
    </row>
    <row r="13">
      <c r="B13" s="28" t="inlineStr">
        <is>
          <t>Board composition</t>
        </is>
      </c>
      <c r="C13" s="29" t="inlineStr">
        <is>
          <t>3 sponsor-appointed (Blackstone, Apollo, KKR) + 2 independent + CEO = 6 members</t>
        </is>
      </c>
      <c r="D13" s="31" t="n"/>
      <c r="E13" s="31" t="n"/>
      <c r="F13" s="32" t="n"/>
    </row>
    <row r="14">
      <c r="B14" s="28" t="inlineStr">
        <is>
          <t>Vote thresholds</t>
        </is>
      </c>
      <c r="C14" s="29" t="inlineStr">
        <is>
          <t>Major decisions (M&amp;A, IPO, refi) require 75% sponsor consent</t>
        </is>
      </c>
      <c r="D14" s="31" t="n"/>
      <c r="E14" s="31" t="n"/>
      <c r="F14" s="32" t="n"/>
    </row>
    <row r="15">
      <c r="B15" s="28" t="inlineStr">
        <is>
          <t>Drag-along rights</t>
        </is>
      </c>
      <c r="C15" s="29" t="inlineStr">
        <is>
          <t>Blackstone has drag rights at 60% sponsor approval</t>
        </is>
      </c>
      <c r="D15" s="31" t="n"/>
      <c r="E15" s="31" t="n"/>
      <c r="F15" s="32" t="n"/>
    </row>
    <row r="16">
      <c r="B16" s="28" t="inlineStr">
        <is>
          <t>SWF passive structure</t>
        </is>
      </c>
      <c r="C16" s="29" t="inlineStr">
        <is>
          <t>Sovereign-wealth LPs are passive; no board seat; pro-rata economic participation only</t>
        </is>
      </c>
      <c r="D16" s="31" t="n"/>
      <c r="E16" s="31" t="n"/>
      <c r="F16" s="32" t="n"/>
    </row>
    <row r="17">
      <c r="B17" s="28" t="inlineStr">
        <is>
          <t>Exit mechanics</t>
        </is>
      </c>
      <c r="C17" s="29" t="inlineStr">
        <is>
          <t>Pro-rata distribution by ownership percentage</t>
        </is>
      </c>
      <c r="D17" s="31" t="n"/>
      <c r="E17" s="31" t="n"/>
      <c r="F17" s="32" t="n"/>
    </row>
    <row r="18">
      <c r="B18" s="28" t="inlineStr">
        <is>
          <t>Management equity pool</t>
        </is>
      </c>
      <c r="C18" s="29" t="inlineStr">
        <is>
          <t>10% of equity reserved for management (overlay on top of $17B sponsor equity)</t>
        </is>
      </c>
      <c r="D18" s="31" t="n"/>
      <c r="E18" s="31" t="n"/>
      <c r="F18" s="32" t="n"/>
    </row>
  </sheetData>
  <mergeCells count="9">
    <mergeCell ref="A12:H12"/>
    <mergeCell ref="A4:H4"/>
    <mergeCell ref="C13:F13"/>
    <mergeCell ref="C18:F18"/>
    <mergeCell ref="C17:F17"/>
    <mergeCell ref="C16:F16"/>
    <mergeCell ref="C15:F15"/>
    <mergeCell ref="A1:H1"/>
    <mergeCell ref="C14:F14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&amp;K3C3F45Consortium&amp;CConsortium Equity Sources&amp;R&amp;8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2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OPERATING MODEL — 5-Year Forecast ($ Millions)</t>
        </is>
      </c>
    </row>
    <row r="3">
      <c r="A3" s="4" t="inlineStr">
        <is>
          <t>P&amp;L BUILD</t>
        </is>
      </c>
    </row>
    <row r="4">
      <c r="B4" s="12" t="inlineStr">
        <is>
          <t>Line Item</t>
        </is>
      </c>
      <c r="C4" s="12" t="inlineStr">
        <is>
          <t>Yr 0 (2025)</t>
        </is>
      </c>
      <c r="D4" s="12" t="inlineStr">
        <is>
          <t>Yr 1</t>
        </is>
      </c>
      <c r="E4" s="12" t="inlineStr">
        <is>
          <t>Yr 2</t>
        </is>
      </c>
      <c r="F4" s="12" t="inlineStr">
        <is>
          <t>Yr 3</t>
        </is>
      </c>
      <c r="G4" s="12" t="inlineStr">
        <is>
          <t>Yr 4</t>
        </is>
      </c>
      <c r="H4" s="12" t="inlineStr">
        <is>
          <t>Yr 5</t>
        </is>
      </c>
    </row>
    <row r="5">
      <c r="B5" s="28" t="inlineStr">
        <is>
          <t>Revenue</t>
        </is>
      </c>
      <c r="C5" s="21" t="n">
        <v>9836</v>
      </c>
      <c r="D5" s="21">
        <f>C5*(1+Assumptions!D16)</f>
        <v/>
      </c>
      <c r="E5" s="21">
        <f>D5*(1+Assumptions!E16)</f>
        <v/>
      </c>
      <c r="F5" s="21">
        <f>E5*(1+Assumptions!F16)</f>
        <v/>
      </c>
      <c r="G5" s="21">
        <f>F5*(1+Assumptions!G16)</f>
        <v/>
      </c>
      <c r="H5" s="21">
        <f>G5*(1+Assumptions!H16)</f>
        <v/>
      </c>
    </row>
    <row r="6">
      <c r="B6" s="13" t="inlineStr">
        <is>
          <t>EBITDA margin %</t>
        </is>
      </c>
      <c r="C6" s="22">
        <f>Assumptions!C17</f>
        <v/>
      </c>
      <c r="D6" s="22">
        <f>Assumptions!D17</f>
        <v/>
      </c>
      <c r="E6" s="22">
        <f>Assumptions!E17</f>
        <v/>
      </c>
      <c r="F6" s="22">
        <f>Assumptions!F17</f>
        <v/>
      </c>
      <c r="G6" s="22">
        <f>Assumptions!G17</f>
        <v/>
      </c>
      <c r="H6" s="22">
        <f>Assumptions!H17</f>
        <v/>
      </c>
    </row>
    <row r="7">
      <c r="B7" s="28" t="inlineStr">
        <is>
          <t>Adjusted EBITDA</t>
        </is>
      </c>
      <c r="C7" s="16">
        <f>C5*C6</f>
        <v/>
      </c>
      <c r="D7" s="16">
        <f>D5*D6</f>
        <v/>
      </c>
      <c r="E7" s="16">
        <f>E5*E6</f>
        <v/>
      </c>
      <c r="F7" s="16">
        <f>F5*F6</f>
        <v/>
      </c>
      <c r="G7" s="16">
        <f>G5*G6</f>
        <v/>
      </c>
      <c r="H7" s="16">
        <f>H5*H6</f>
        <v/>
      </c>
    </row>
    <row r="8">
      <c r="B8" s="13" t="inlineStr">
        <is>
          <t>D&amp;A</t>
        </is>
      </c>
      <c r="C8" s="27">
        <f>C5*Assumptions!C19</f>
        <v/>
      </c>
      <c r="D8" s="27">
        <f>D5*Assumptions!D19</f>
        <v/>
      </c>
      <c r="E8" s="27">
        <f>E5*Assumptions!E19</f>
        <v/>
      </c>
      <c r="F8" s="27">
        <f>F5*Assumptions!F19</f>
        <v/>
      </c>
      <c r="G8" s="27">
        <f>G5*Assumptions!G19</f>
        <v/>
      </c>
      <c r="H8" s="27">
        <f>H5*Assumptions!H19</f>
        <v/>
      </c>
    </row>
    <row r="9">
      <c r="B9" s="28" t="inlineStr">
        <is>
          <t>EBIT</t>
        </is>
      </c>
      <c r="C9" s="21">
        <f>C7-C8</f>
        <v/>
      </c>
      <c r="D9" s="21">
        <f>D7-D8</f>
        <v/>
      </c>
      <c r="E9" s="21">
        <f>E7-E8</f>
        <v/>
      </c>
      <c r="F9" s="21">
        <f>F7-F8</f>
        <v/>
      </c>
      <c r="G9" s="21">
        <f>G7-G8</f>
        <v/>
      </c>
      <c r="H9" s="21">
        <f>H7-H8</f>
        <v/>
      </c>
    </row>
    <row r="10">
      <c r="B10" s="13" t="inlineStr">
        <is>
          <t>Interest expense</t>
        </is>
      </c>
      <c r="C10" s="27" t="n">
        <v>0</v>
      </c>
      <c r="D10" s="27">
        <f>Debt_Schedule!C9+Debt_Schedule!C14</f>
        <v/>
      </c>
      <c r="E10" s="27">
        <f>Debt_Schedule!D9+Debt_Schedule!D14</f>
        <v/>
      </c>
      <c r="F10" s="27">
        <f>Debt_Schedule!E9+Debt_Schedule!E14</f>
        <v/>
      </c>
      <c r="G10" s="27">
        <f>Debt_Schedule!F9+Debt_Schedule!F14</f>
        <v/>
      </c>
      <c r="H10" s="27">
        <f>Debt_Schedule!G9+Debt_Schedule!G14</f>
        <v/>
      </c>
    </row>
    <row r="11">
      <c r="B11" s="28" t="inlineStr">
        <is>
          <t>Pretax income</t>
        </is>
      </c>
      <c r="C11" s="21">
        <f>C9-C10</f>
        <v/>
      </c>
      <c r="D11" s="21">
        <f>D9-D10</f>
        <v/>
      </c>
      <c r="E11" s="21">
        <f>E9-E10</f>
        <v/>
      </c>
      <c r="F11" s="21">
        <f>F9-F10</f>
        <v/>
      </c>
      <c r="G11" s="21">
        <f>G9-G10</f>
        <v/>
      </c>
      <c r="H11" s="21">
        <f>H9-H10</f>
        <v/>
      </c>
    </row>
    <row r="12">
      <c r="B12" s="13" t="inlineStr">
        <is>
          <t>Tax @ 24%</t>
        </is>
      </c>
      <c r="C12" s="27">
        <f>MAX(0,C11*Assumptions!$C$20)</f>
        <v/>
      </c>
      <c r="D12" s="27">
        <f>MAX(0,D11*Assumptions!$C$20)</f>
        <v/>
      </c>
      <c r="E12" s="27">
        <f>MAX(0,E11*Assumptions!$C$20)</f>
        <v/>
      </c>
      <c r="F12" s="27">
        <f>MAX(0,F11*Assumptions!$C$20)</f>
        <v/>
      </c>
      <c r="G12" s="27">
        <f>MAX(0,G11*Assumptions!$C$20)</f>
        <v/>
      </c>
      <c r="H12" s="27">
        <f>MAX(0,H11*Assumptions!$C$20)</f>
        <v/>
      </c>
    </row>
    <row r="13">
      <c r="B13" s="28" t="inlineStr">
        <is>
          <t>Net Income</t>
        </is>
      </c>
      <c r="C13" s="16">
        <f>C11-C12</f>
        <v/>
      </c>
      <c r="D13" s="16">
        <f>D11-D12</f>
        <v/>
      </c>
      <c r="E13" s="16">
        <f>E11-E12</f>
        <v/>
      </c>
      <c r="F13" s="16">
        <f>F11-F12</f>
        <v/>
      </c>
      <c r="G13" s="16">
        <f>G11-G12</f>
        <v/>
      </c>
      <c r="H13" s="16">
        <f>H11-H12</f>
        <v/>
      </c>
    </row>
    <row r="15">
      <c r="A15" s="4" t="inlineStr">
        <is>
          <t>CASH FLOW BUILD</t>
        </is>
      </c>
    </row>
    <row r="16">
      <c r="B16" s="12" t="inlineStr">
        <is>
          <t>Line Item</t>
        </is>
      </c>
      <c r="C16" s="12" t="inlineStr">
        <is>
          <t>Yr 0</t>
        </is>
      </c>
      <c r="D16" s="12" t="inlineStr">
        <is>
          <t>Yr 1</t>
        </is>
      </c>
      <c r="E16" s="12" t="inlineStr">
        <is>
          <t>Yr 2</t>
        </is>
      </c>
      <c r="F16" s="12" t="inlineStr">
        <is>
          <t>Yr 3</t>
        </is>
      </c>
      <c r="G16" s="12" t="inlineStr">
        <is>
          <t>Yr 4</t>
        </is>
      </c>
      <c r="H16" s="12" t="inlineStr">
        <is>
          <t>Yr 5</t>
        </is>
      </c>
    </row>
    <row r="17">
      <c r="B17" s="13" t="inlineStr">
        <is>
          <t>Net Income</t>
        </is>
      </c>
      <c r="C17" s="27">
        <f>C13</f>
        <v/>
      </c>
      <c r="D17" s="27">
        <f>D13</f>
        <v/>
      </c>
      <c r="E17" s="27">
        <f>E13</f>
        <v/>
      </c>
      <c r="F17" s="27">
        <f>F13</f>
        <v/>
      </c>
      <c r="G17" s="27">
        <f>G13</f>
        <v/>
      </c>
      <c r="H17" s="27">
        <f>H13</f>
        <v/>
      </c>
    </row>
    <row r="18">
      <c r="B18" s="13" t="inlineStr">
        <is>
          <t>+ D&amp;A</t>
        </is>
      </c>
      <c r="C18" s="27">
        <f>C8</f>
        <v/>
      </c>
      <c r="D18" s="27">
        <f>D8</f>
        <v/>
      </c>
      <c r="E18" s="27">
        <f>E8</f>
        <v/>
      </c>
      <c r="F18" s="27">
        <f>F8</f>
        <v/>
      </c>
      <c r="G18" s="27">
        <f>G8</f>
        <v/>
      </c>
      <c r="H18" s="27">
        <f>H8</f>
        <v/>
      </c>
    </row>
    <row r="19">
      <c r="B19" s="13" t="inlineStr">
        <is>
          <t>- Capex</t>
        </is>
      </c>
      <c r="C19" s="27">
        <f>C5*Assumptions!C18</f>
        <v/>
      </c>
      <c r="D19" s="27">
        <f>D5*Assumptions!D18</f>
        <v/>
      </c>
      <c r="E19" s="27">
        <f>E5*Assumptions!E18</f>
        <v/>
      </c>
      <c r="F19" s="27">
        <f>F5*Assumptions!F18</f>
        <v/>
      </c>
      <c r="G19" s="27">
        <f>G5*Assumptions!G18</f>
        <v/>
      </c>
      <c r="H19" s="27">
        <f>H5*Assumptions!H18</f>
        <v/>
      </c>
    </row>
    <row r="20">
      <c r="B20" s="28" t="inlineStr">
        <is>
          <t>Free Cash Flow (pre-debt sweep)</t>
        </is>
      </c>
      <c r="C20" s="16">
        <f>C17+C18-C19</f>
        <v/>
      </c>
      <c r="D20" s="16">
        <f>D17+D18-D19</f>
        <v/>
      </c>
      <c r="E20" s="16">
        <f>E17+E18-E19</f>
        <v/>
      </c>
      <c r="F20" s="16">
        <f>F17+F18-F19</f>
        <v/>
      </c>
      <c r="G20" s="16">
        <f>G17+G18-G19</f>
        <v/>
      </c>
      <c r="H20" s="16">
        <f>H17+H18-H19</f>
        <v/>
      </c>
    </row>
  </sheetData>
  <mergeCells count="3">
    <mergeCell ref="A15:H15"/>
    <mergeCell ref="A3:H3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&amp;K3C3F45Operating_Model&amp;COperating Model — 5-Year&amp;R&amp;8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1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DEBT SCHEDULE</t>
        </is>
      </c>
    </row>
    <row r="3">
      <c r="A3" s="4" t="inlineStr">
        <is>
          <t>TERM LOAN B</t>
        </is>
      </c>
    </row>
    <row r="4">
      <c r="B4" s="12" t="inlineStr">
        <is>
          <t>TLB Build</t>
        </is>
      </c>
      <c r="C4" s="12" t="inlineStr">
        <is>
          <t>Yr 0</t>
        </is>
      </c>
      <c r="D4" s="12" t="inlineStr">
        <is>
          <t>Yr 1</t>
        </is>
      </c>
      <c r="E4" s="12" t="inlineStr">
        <is>
          <t>Yr 2</t>
        </is>
      </c>
      <c r="F4" s="12" t="inlineStr">
        <is>
          <t>Yr 3</t>
        </is>
      </c>
      <c r="G4" s="12" t="inlineStr">
        <is>
          <t>Yr 4</t>
        </is>
      </c>
      <c r="H4" s="12" t="inlineStr">
        <is>
          <t>Yr 5</t>
        </is>
      </c>
    </row>
    <row r="5">
      <c r="B5" s="13" t="inlineStr">
        <is>
          <t>Beginning balance</t>
        </is>
      </c>
      <c r="C5" s="27" t="n">
        <v>0</v>
      </c>
      <c r="D5" s="27">
        <f>C8</f>
        <v/>
      </c>
      <c r="E5" s="27">
        <f>D8</f>
        <v/>
      </c>
      <c r="F5" s="27">
        <f>E8</f>
        <v/>
      </c>
      <c r="G5" s="27">
        <f>F8</f>
        <v/>
      </c>
      <c r="H5" s="27">
        <f>G8</f>
        <v/>
      </c>
    </row>
    <row r="6">
      <c r="B6" s="13" t="inlineStr">
        <is>
          <t>+ Drawdown at close</t>
        </is>
      </c>
      <c r="C6" s="27">
        <f>Assumptions!C9</f>
        <v/>
      </c>
      <c r="D6" s="27" t="n">
        <v>0</v>
      </c>
      <c r="E6" s="27" t="n">
        <v>0</v>
      </c>
      <c r="F6" s="27" t="n">
        <v>0</v>
      </c>
      <c r="G6" s="27" t="n">
        <v>0</v>
      </c>
      <c r="H6" s="27" t="n">
        <v>0</v>
      </c>
    </row>
    <row r="7">
      <c r="B7" s="13" t="inlineStr">
        <is>
          <t>- Amort + Cash sweep</t>
        </is>
      </c>
      <c r="C7" s="27" t="n">
        <v>0</v>
      </c>
      <c r="D7" s="27">
        <f>MIN(D5,D5*Assumptions!$C$23+MAX(0,Operating_Model!D20*Assumptions!$C$24))</f>
        <v/>
      </c>
      <c r="E7" s="27">
        <f>MIN(E5,E5*Assumptions!$C$23+MAX(0,Operating_Model!E20*Assumptions!$C$24))</f>
        <v/>
      </c>
      <c r="F7" s="27">
        <f>MIN(F5,F5*Assumptions!$C$23+MAX(0,Operating_Model!F20*Assumptions!$C$24))</f>
        <v/>
      </c>
      <c r="G7" s="27">
        <f>MIN(G5,G5*Assumptions!$C$23+MAX(0,Operating_Model!G20*Assumptions!$C$24))</f>
        <v/>
      </c>
      <c r="H7" s="27">
        <f>MIN(H5,H5*Assumptions!$C$23+MAX(0,Operating_Model!H20*Assumptions!$C$24))</f>
        <v/>
      </c>
    </row>
    <row r="8">
      <c r="B8" s="28" t="inlineStr">
        <is>
          <t>Ending balance</t>
        </is>
      </c>
      <c r="C8" s="16">
        <f>C5+C6-C7</f>
        <v/>
      </c>
      <c r="D8" s="16">
        <f>D5+D6-D7</f>
        <v/>
      </c>
      <c r="E8" s="16">
        <f>E5+E6-E7</f>
        <v/>
      </c>
      <c r="F8" s="16">
        <f>F5+F6-F7</f>
        <v/>
      </c>
      <c r="G8" s="16">
        <f>G5+G6-G7</f>
        <v/>
      </c>
      <c r="H8" s="16">
        <f>H5+H6-H7</f>
        <v/>
      </c>
    </row>
    <row r="9">
      <c r="B9" s="13" t="inlineStr">
        <is>
          <t>TLB interest @ rate × avg balance</t>
        </is>
      </c>
      <c r="C9" s="27" t="n">
        <v>0</v>
      </c>
      <c r="D9" s="27">
        <f>((D5+D8)/2)*Assumptions!$C$21</f>
        <v/>
      </c>
      <c r="E9" s="27">
        <f>((E5+E8)/2)*Assumptions!$C$21</f>
        <v/>
      </c>
      <c r="F9" s="27">
        <f>((F5+F8)/2)*Assumptions!$C$21</f>
        <v/>
      </c>
      <c r="G9" s="27">
        <f>((G5+G8)/2)*Assumptions!$C$21</f>
        <v/>
      </c>
      <c r="H9" s="27">
        <f>((H5+H8)/2)*Assumptions!$C$21</f>
        <v/>
      </c>
    </row>
    <row r="11">
      <c r="A11" s="4" t="inlineStr">
        <is>
          <t>MEZZANINE / SECOND LIEN</t>
        </is>
      </c>
    </row>
    <row r="12">
      <c r="B12" s="12" t="inlineStr">
        <is>
          <t>Mezz Build</t>
        </is>
      </c>
      <c r="C12" s="12" t="inlineStr">
        <is>
          <t>Yr 0</t>
        </is>
      </c>
      <c r="D12" s="12" t="inlineStr">
        <is>
          <t>Yr 1</t>
        </is>
      </c>
      <c r="E12" s="12" t="inlineStr">
        <is>
          <t>Yr 2</t>
        </is>
      </c>
      <c r="F12" s="12" t="inlineStr">
        <is>
          <t>Yr 3</t>
        </is>
      </c>
      <c r="G12" s="12" t="inlineStr">
        <is>
          <t>Yr 4</t>
        </is>
      </c>
      <c r="H12" s="12" t="inlineStr">
        <is>
          <t>Yr 5</t>
        </is>
      </c>
    </row>
    <row r="13">
      <c r="B13" s="13" t="inlineStr">
        <is>
          <t>Mezzanine balance (bullet)</t>
        </is>
      </c>
      <c r="C13" s="21">
        <f>Assumptions!C10</f>
        <v/>
      </c>
      <c r="D13" s="21">
        <f>C13</f>
        <v/>
      </c>
      <c r="E13" s="21">
        <f>D13</f>
        <v/>
      </c>
      <c r="F13" s="21">
        <f>E13</f>
        <v/>
      </c>
      <c r="G13" s="21">
        <f>F13</f>
        <v/>
      </c>
      <c r="H13" s="21">
        <f>G13</f>
        <v/>
      </c>
    </row>
    <row r="14">
      <c r="B14" s="13" t="inlineStr">
        <is>
          <t>Mezz interest @ 12%</t>
        </is>
      </c>
      <c r="C14" s="27" t="n">
        <v>0</v>
      </c>
      <c r="D14" s="27">
        <f>D13*Assumptions!$C$22</f>
        <v/>
      </c>
      <c r="E14" s="27">
        <f>E13*Assumptions!$C$22</f>
        <v/>
      </c>
      <c r="F14" s="27">
        <f>F13*Assumptions!$C$22</f>
        <v/>
      </c>
      <c r="G14" s="27">
        <f>G13*Assumptions!$C$22</f>
        <v/>
      </c>
      <c r="H14" s="27">
        <f>H13*Assumptions!$C$22</f>
        <v/>
      </c>
    </row>
    <row r="16">
      <c r="A16" s="4" t="inlineStr">
        <is>
          <t>TOTAL DEBT &amp; LEVERAGE</t>
        </is>
      </c>
    </row>
    <row r="17">
      <c r="B17" s="12" t="inlineStr">
        <is>
          <t>Line Item</t>
        </is>
      </c>
      <c r="C17" s="12" t="inlineStr">
        <is>
          <t>Yr 0</t>
        </is>
      </c>
      <c r="D17" s="12" t="inlineStr">
        <is>
          <t>Yr 1</t>
        </is>
      </c>
      <c r="E17" s="12" t="inlineStr">
        <is>
          <t>Yr 2</t>
        </is>
      </c>
      <c r="F17" s="12" t="inlineStr">
        <is>
          <t>Yr 3</t>
        </is>
      </c>
      <c r="G17" s="12" t="inlineStr">
        <is>
          <t>Yr 4</t>
        </is>
      </c>
      <c r="H17" s="12" t="inlineStr">
        <is>
          <t>Yr 5</t>
        </is>
      </c>
    </row>
    <row r="18">
      <c r="B18" s="28" t="inlineStr">
        <is>
          <t>Total debt (TLB + Mezz)</t>
        </is>
      </c>
      <c r="C18" s="16">
        <f>C8+C13</f>
        <v/>
      </c>
      <c r="D18" s="16">
        <f>D8+D13</f>
        <v/>
      </c>
      <c r="E18" s="16">
        <f>E8+E13</f>
        <v/>
      </c>
      <c r="F18" s="16">
        <f>F8+F13</f>
        <v/>
      </c>
      <c r="G18" s="16">
        <f>G8+G13</f>
        <v/>
      </c>
      <c r="H18" s="16">
        <f>H8+H13</f>
        <v/>
      </c>
    </row>
    <row r="19">
      <c r="B19" s="13" t="inlineStr">
        <is>
          <t>Net leverage (debt / EBITDA)</t>
        </is>
      </c>
      <c r="C19" s="33">
        <f>C18/Operating_Model!C7</f>
        <v/>
      </c>
      <c r="D19" s="33">
        <f>D18/Operating_Model!D7</f>
        <v/>
      </c>
      <c r="E19" s="33">
        <f>E18/Operating_Model!E7</f>
        <v/>
      </c>
      <c r="F19" s="33">
        <f>F18/Operating_Model!F7</f>
        <v/>
      </c>
      <c r="G19" s="33">
        <f>G18/Operating_Model!G7</f>
        <v/>
      </c>
      <c r="H19" s="33">
        <f>H18/Operating_Model!H7</f>
        <v/>
      </c>
    </row>
  </sheetData>
  <mergeCells count="4">
    <mergeCell ref="A16:H16"/>
    <mergeCell ref="A3:H3"/>
    <mergeCell ref="A11:H11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&amp;K3C3F45Debt_Schedule&amp;CDebt Schedule&amp;R&amp;8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24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14" customWidth="1" min="3" max="3"/>
    <col width="12" customWidth="1" min="4" max="4"/>
    <col width="14" customWidth="1" min="5" max="5"/>
    <col width="12" customWidth="1" min="6" max="6"/>
    <col width="14" customWidth="1" min="7" max="7"/>
  </cols>
  <sheetData>
    <row r="1">
      <c r="A1" s="1" t="inlineStr">
        <is>
          <t>RETURNS — Year 5 Exit at Strategic Premium</t>
        </is>
      </c>
    </row>
    <row r="3">
      <c r="A3" s="4" t="inlineStr">
        <is>
          <t>EXIT VALUATION</t>
        </is>
      </c>
    </row>
    <row r="4">
      <c r="B4" s="12" t="inlineStr">
        <is>
          <t>Item</t>
        </is>
      </c>
      <c r="C4" s="12" t="inlineStr">
        <is>
          <t>Value</t>
        </is>
      </c>
    </row>
    <row r="5">
      <c r="B5" s="13" t="inlineStr">
        <is>
          <t>Year 5 Adjusted EBITDA</t>
        </is>
      </c>
      <c r="C5" s="27">
        <f>Operating_Model!H7</f>
        <v/>
      </c>
    </row>
    <row r="6">
      <c r="B6" s="13" t="inlineStr">
        <is>
          <t>Exit EV/EBITDA multiple (strategic to Apple)</t>
        </is>
      </c>
      <c r="C6" s="15" t="n">
        <v>13.5</v>
      </c>
    </row>
    <row r="7">
      <c r="B7" s="13" t="inlineStr">
        <is>
          <t>Year 5 Exit Enterprise Value</t>
        </is>
      </c>
      <c r="C7" s="16">
        <f>C5*C6</f>
        <v/>
      </c>
    </row>
    <row r="8">
      <c r="B8" s="13" t="inlineStr">
        <is>
          <t>Less: Year 5 net debt (TLB + Mezz)</t>
        </is>
      </c>
      <c r="C8" s="27">
        <f>Debt_Schedule!H18</f>
        <v/>
      </c>
    </row>
    <row r="9">
      <c r="B9" s="13" t="inlineStr">
        <is>
          <t>Year 5 Equity Value</t>
        </is>
      </c>
      <c r="C9" s="16">
        <f>C7-C8</f>
        <v/>
      </c>
    </row>
    <row r="11">
      <c r="A11" s="4" t="inlineStr">
        <is>
          <t>AGGREGATE SPONSOR RETURNS</t>
        </is>
      </c>
    </row>
    <row r="12">
      <c r="B12" s="12" t="inlineStr">
        <is>
          <t>Metric</t>
        </is>
      </c>
      <c r="C12" s="12" t="inlineStr">
        <is>
          <t>Value</t>
        </is>
      </c>
    </row>
    <row r="13">
      <c r="B13" s="13" t="inlineStr">
        <is>
          <t>Aggregate equity invested ($M)</t>
        </is>
      </c>
      <c r="C13" s="16">
        <f>Assumptions!C11</f>
        <v/>
      </c>
    </row>
    <row r="14">
      <c r="B14" s="13" t="inlineStr">
        <is>
          <t>Year 5 equity value distributed ($M)</t>
        </is>
      </c>
      <c r="C14" s="16">
        <f>C9</f>
        <v/>
      </c>
    </row>
    <row r="15">
      <c r="B15" s="13" t="inlineStr">
        <is>
          <t>Multiple on Money (MoM)</t>
        </is>
      </c>
      <c r="C15" s="17">
        <f>C14/C13</f>
        <v/>
      </c>
    </row>
    <row r="16">
      <c r="B16" s="13" t="inlineStr">
        <is>
          <t>Implied 5-year IRR</t>
        </is>
      </c>
      <c r="C16" s="25">
        <f>(C14/C13)^(1/5)-1</f>
        <v/>
      </c>
    </row>
    <row r="18">
      <c r="A18" s="4" t="inlineStr">
        <is>
          <t>PER-SPONSOR RETURNS (pro-rata)</t>
        </is>
      </c>
    </row>
    <row r="19">
      <c r="B19" s="12" t="inlineStr">
        <is>
          <t>Sponsor</t>
        </is>
      </c>
      <c r="C19" s="12" t="inlineStr">
        <is>
          <t>Check Size</t>
        </is>
      </c>
      <c r="D19" s="12" t="inlineStr">
        <is>
          <t>Yr 5 Distribution</t>
        </is>
      </c>
      <c r="E19" s="12" t="inlineStr">
        <is>
          <t>MoM</t>
        </is>
      </c>
      <c r="F19" s="12" t="inlineStr">
        <is>
          <t>IRR</t>
        </is>
      </c>
      <c r="G19" s="12" t="inlineStr">
        <is>
          <t>Notes</t>
        </is>
      </c>
    </row>
    <row r="20">
      <c r="B20" s="28" t="inlineStr">
        <is>
          <t>Blackstone (lead)</t>
        </is>
      </c>
      <c r="C20" s="27">
        <f>Consortium!C6</f>
        <v/>
      </c>
      <c r="D20" s="21">
        <f>C20/$C$13*$C$14</f>
        <v/>
      </c>
      <c r="E20" s="33">
        <f>D20/C20</f>
        <v/>
      </c>
      <c r="F20" s="22">
        <f>(D20/C20)^(1/5)-1</f>
        <v/>
      </c>
      <c r="G20" s="26" t="inlineStr">
        <is>
          <t>Carry on top from GP economics; expected gross-to-net spread ~3-5% IRR</t>
        </is>
      </c>
    </row>
    <row r="21">
      <c r="B21" s="28" t="inlineStr">
        <is>
          <t>Apollo</t>
        </is>
      </c>
      <c r="C21" s="27">
        <f>Consortium!C7</f>
        <v/>
      </c>
      <c r="D21" s="21">
        <f>C21/$C$13*$C$14</f>
        <v/>
      </c>
      <c r="E21" s="33">
        <f>D21/C21</f>
        <v/>
      </c>
      <c r="F21" s="22">
        <f>(D21/C21)^(1/5)-1</f>
        <v/>
      </c>
      <c r="G21" s="26" t="inlineStr"/>
    </row>
    <row r="22">
      <c r="B22" s="28" t="inlineStr">
        <is>
          <t>KKR</t>
        </is>
      </c>
      <c r="C22" s="27">
        <f>Consortium!C8</f>
        <v/>
      </c>
      <c r="D22" s="21">
        <f>C22/$C$13*$C$14</f>
        <v/>
      </c>
      <c r="E22" s="33">
        <f>D22/C22</f>
        <v/>
      </c>
      <c r="F22" s="22">
        <f>(D22/C22)^(1/5)-1</f>
        <v/>
      </c>
      <c r="G22" s="26" t="inlineStr"/>
    </row>
    <row r="23">
      <c r="B23" s="28" t="inlineStr">
        <is>
          <t>SWF consortium (GIC / Mubadala / ADIA)</t>
        </is>
      </c>
      <c r="C23" s="27">
        <f>Consortium!C9</f>
        <v/>
      </c>
      <c r="D23" s="21">
        <f>C23/$C$13*$C$14</f>
        <v/>
      </c>
      <c r="E23" s="33">
        <f>D23/C23</f>
        <v/>
      </c>
      <c r="F23" s="22">
        <f>(D23/C23)^(1/5)-1</f>
        <v/>
      </c>
      <c r="G23" s="26" t="inlineStr">
        <is>
          <t>Lower fee burden — net IRR closer to gross; passive long-term capital</t>
        </is>
      </c>
    </row>
    <row r="24">
      <c r="B24" s="24" t="inlineStr">
        <is>
          <t>TOTAL</t>
        </is>
      </c>
      <c r="C24" s="16">
        <f>SUM(C20:C23)</f>
        <v/>
      </c>
      <c r="D24" s="16">
        <f>SUM(D20:D23)</f>
        <v/>
      </c>
    </row>
  </sheetData>
  <mergeCells count="4">
    <mergeCell ref="A18:H18"/>
    <mergeCell ref="A3:H3"/>
    <mergeCell ref="A11:H11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&amp;K3C3F45Returns&amp;CReturns Analysis&amp;R&amp;8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1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min="1" max="1"/>
    <col width="2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RETURNS SENSITIVITY</t>
        </is>
      </c>
    </row>
    <row r="3">
      <c r="A3" s="4" t="inlineStr">
        <is>
          <t>EXIT MULTIPLE × Year-5 EBITDA → Sponsor MoM</t>
        </is>
      </c>
    </row>
    <row r="4">
      <c r="B4" s="28" t="inlineStr">
        <is>
          <t>Year 5 EBITDA ($M) →</t>
        </is>
      </c>
      <c r="C4" s="21" t="n">
        <v>3800</v>
      </c>
      <c r="D4" s="21" t="n">
        <v>4000</v>
      </c>
      <c r="E4" s="21" t="n">
        <v>4200</v>
      </c>
      <c r="F4" s="21" t="n">
        <v>4400</v>
      </c>
      <c r="G4" s="21" t="n">
        <v>4600</v>
      </c>
    </row>
    <row r="5">
      <c r="B5" s="28" t="inlineStr">
        <is>
          <t>Exit Multiple ↓</t>
        </is>
      </c>
    </row>
    <row r="6">
      <c r="B6" s="34" t="n">
        <v>10.5</v>
      </c>
      <c r="C6" s="33">
        <f>(10.5*3800-15000)/17000</f>
        <v/>
      </c>
      <c r="D6" s="33">
        <f>(10.5*4000-15000)/17000</f>
        <v/>
      </c>
      <c r="E6" s="33">
        <f>(10.5*4200-15000)/17000</f>
        <v/>
      </c>
      <c r="F6" s="33">
        <f>(10.5*4400-15000)/17000</f>
        <v/>
      </c>
      <c r="G6" s="33">
        <f>(10.5*4600-15000)/17000</f>
        <v/>
      </c>
    </row>
    <row r="7">
      <c r="B7" s="34" t="n">
        <v>11.5</v>
      </c>
      <c r="C7" s="33">
        <f>(11.5*3800-15000)/17000</f>
        <v/>
      </c>
      <c r="D7" s="33">
        <f>(11.5*4000-15000)/17000</f>
        <v/>
      </c>
      <c r="E7" s="33">
        <f>(11.5*4200-15000)/17000</f>
        <v/>
      </c>
      <c r="F7" s="33">
        <f>(11.5*4400-15000)/17000</f>
        <v/>
      </c>
      <c r="G7" s="33">
        <f>(11.5*4600-15000)/17000</f>
        <v/>
      </c>
    </row>
    <row r="8">
      <c r="B8" s="34" t="n">
        <v>12.5</v>
      </c>
      <c r="C8" s="33">
        <f>(12.5*3800-15000)/17000</f>
        <v/>
      </c>
      <c r="D8" s="33">
        <f>(12.5*4000-15000)/17000</f>
        <v/>
      </c>
      <c r="E8" s="33">
        <f>(12.5*4200-15000)/17000</f>
        <v/>
      </c>
      <c r="F8" s="33">
        <f>(12.5*4400-15000)/17000</f>
        <v/>
      </c>
      <c r="G8" s="33">
        <f>(12.5*4600-15000)/17000</f>
        <v/>
      </c>
    </row>
    <row r="9">
      <c r="B9" s="34" t="n">
        <v>13.5</v>
      </c>
      <c r="C9" s="33">
        <f>(13.5*3800-15000)/17000</f>
        <v/>
      </c>
      <c r="D9" s="33">
        <f>(13.5*4000-15000)/17000</f>
        <v/>
      </c>
      <c r="E9" s="33">
        <f>(13.5*4200-15000)/17000</f>
        <v/>
      </c>
      <c r="F9" s="33">
        <f>(13.5*4400-15000)/17000</f>
        <v/>
      </c>
      <c r="G9" s="33">
        <f>(13.5*4600-15000)/17000</f>
        <v/>
      </c>
    </row>
    <row r="10">
      <c r="B10" s="34" t="n">
        <v>14.5</v>
      </c>
      <c r="C10" s="33">
        <f>(14.5*3800-15000)/17000</f>
        <v/>
      </c>
      <c r="D10" s="33">
        <f>(14.5*4000-15000)/17000</f>
        <v/>
      </c>
      <c r="E10" s="33">
        <f>(14.5*4200-15000)/17000</f>
        <v/>
      </c>
      <c r="F10" s="33">
        <f>(14.5*4400-15000)/17000</f>
        <v/>
      </c>
      <c r="G10" s="33">
        <f>(14.5*4600-15000)/17000</f>
        <v/>
      </c>
    </row>
  </sheetData>
  <mergeCells count="2">
    <mergeCell ref="A3:H3"/>
    <mergeCell ref="A1:H1"/>
  </mergeCells>
  <printOptions horizontalCentered="1"/>
  <pageMargins left="0.5" right="0.5" top="0.5" bottom="0.5" header="0.3" footer="0.3"/>
  <pageSetup orientation="landscape" paperSize="1" fitToHeight="0" fitToWidth="1"/>
  <headerFooter>
    <oddHeader>&amp;L&amp;8 &amp;K3C3F45Sensitivity&amp;CSensitivity Analysis&amp;R&amp;8 &amp;KC89000BARATELLI INSTITUTE  *  MENTORING AT SCALE</oddHeader>
    <oddFooter>&amp;L&amp;8 &amp;K3C3F45baratelliinstitute.com&amp;C&amp;8 &amp;K3C3F45Page &amp;P of &amp;N&amp;R&amp;8 &amp;K3C3F45Comcast PE LBO Theme Parks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2026-06-30T13:02:21Z</dcterms:created>
  <dcterms:modified xmlns:dcterms="http://purl.org/dc/terms/" xmlns:xsi="http://www.w3.org/2001/XMLSchema-instance" xsi:type="dcterms:W3CDTF">2026-07-08T20:43:07Z</dcterms:modified>
</cp:coreProperties>
</file>