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00_Baratelli_Toolkit" sheetId="1" state="visible" r:id="rId1"/>
    <sheet xmlns:r="http://schemas.openxmlformats.org/officeDocument/2006/relationships" name="Cover" sheetId="2" state="visible" r:id="rId2"/>
    <sheet xmlns:r="http://schemas.openxmlformats.org/officeDocument/2006/relationships" name="Income Statement" sheetId="3" state="visible" r:id="rId3"/>
    <sheet xmlns:r="http://schemas.openxmlformats.org/officeDocument/2006/relationships" name="Balance Sheet" sheetId="4" state="visible" r:id="rId4"/>
    <sheet xmlns:r="http://schemas.openxmlformats.org/officeDocument/2006/relationships" name="Cash Flow Statement" sheetId="5" state="visible" r:id="rId5"/>
    <sheet xmlns:r="http://schemas.openxmlformats.org/officeDocument/2006/relationships" name="Segments" sheetId="6" state="visible" r:id="rId6"/>
    <sheet xmlns:r="http://schemas.openxmlformats.org/officeDocument/2006/relationships" name="Valuation vs Staples" sheetId="7" state="visible" r:id="rId7"/>
    <sheet xmlns:r="http://schemas.openxmlformats.org/officeDocument/2006/relationships" name="Returns &amp; Capital Quality" sheetId="8" state="visible" r:id="rId8"/>
    <sheet xmlns:r="http://schemas.openxmlformats.org/officeDocument/2006/relationships" name="Position vs BRK" sheetId="9" state="visible" r:id="rId9"/>
    <sheet xmlns:r="http://schemas.openxmlformats.org/officeDocument/2006/relationships" name="IRS Transfer-Pricing Risk" sheetId="10" state="visible" r:id="rId10"/>
  </sheets>
  <definedNames>
    <definedName name="_xlnm.Print_Titles" localSheetId="1">'Cover'!$1:$3</definedName>
    <definedName name="_xlnm.Print_Area" localSheetId="1">'Cover'!$A$1:$F$18</definedName>
    <definedName name="_xlnm.Print_Titles" localSheetId="2">'Income Statement'!$1:$3</definedName>
    <definedName name="_xlnm.Print_Area" localSheetId="2">'Income Statement'!$A$1:$F$36</definedName>
    <definedName name="_xlnm.Print_Titles" localSheetId="3">'Balance Sheet'!$1:$3</definedName>
    <definedName name="_xlnm.Print_Area" localSheetId="3">'Balance Sheet'!$A$1:$E$34</definedName>
    <definedName name="_xlnm.Print_Titles" localSheetId="4">'Cash Flow Statement'!$1:$3</definedName>
    <definedName name="_xlnm.Print_Area" localSheetId="4">'Cash Flow Statement'!$A$1:$E$25</definedName>
    <definedName name="_xlnm.Print_Titles" localSheetId="5">'Segments'!$1:$3</definedName>
    <definedName name="_xlnm.Print_Area" localSheetId="5">'Segments'!$A$1:$F$18</definedName>
    <definedName name="_xlnm.Print_Titles" localSheetId="6">'Valuation vs Staples'!$1:$3</definedName>
    <definedName name="_xlnm.Print_Area" localSheetId="6">'Valuation vs Staples'!$A$1:$G$16</definedName>
    <definedName name="_xlnm.Print_Titles" localSheetId="7">'Returns &amp; Capital Quality'!$1:$3</definedName>
    <definedName name="_xlnm.Print_Area" localSheetId="7">'Returns &amp; Capital Quality'!$A$1:$D$26</definedName>
    <definedName name="_xlnm.Print_Titles" localSheetId="8">'Position vs BRK'!$1:$3</definedName>
    <definedName name="_xlnm.Print_Area" localSheetId="8">'Position vs BRK'!$A$1:$C$30</definedName>
    <definedName name="_xlnm.Print_Titles" localSheetId="9">'IRS Transfer-Pricing Risk'!$1:$3</definedName>
    <definedName name="_xlnm.Print_Area" localSheetId="9">'IRS Transfer-Pricing Risk'!$A$1:$D$32</definedName>
  </definedNames>
  <calcPr calcId="124519" fullCalcOnLoad="1"/>
</workbook>
</file>

<file path=xl/styles.xml><?xml version="1.0" encoding="utf-8"?>
<styleSheet xmlns="http://schemas.openxmlformats.org/spreadsheetml/2006/main">
  <numFmts count="6">
    <numFmt numFmtId="164" formatCode="$#,##0.0;($#,##0.0);&quot;-&quot;"/>
    <numFmt numFmtId="165" formatCode="$#,##0.00;($#,##0.00);&quot;-&quot;"/>
    <numFmt numFmtId="166" formatCode="0.0%"/>
    <numFmt numFmtId="167" formatCode="0.0x"/>
    <numFmt numFmtId="168" formatCode="$#,##0;($#,##0);&quot;-&quot;"/>
    <numFmt numFmtId="169" formatCode="0.0&quot;ppt&quot;"/>
  </numFmts>
  <fonts count="41">
    <font>
      <name val="Calibri"/>
      <family val="2"/>
      <color theme="1"/>
      <sz val="11"/>
      <scheme val="minor"/>
    </font>
    <font>
      <name val="Arial"/>
      <b val="1"/>
      <color rgb="FFFFFFFF"/>
      <sz val="11"/>
    </font>
    <font>
      <name val="Arial"/>
      <b val="1"/>
      <color rgb="FF0D2747"/>
      <sz val="20"/>
    </font>
    <font>
      <name val="Arial"/>
      <i val="1"/>
      <color rgb="FF8A6D00"/>
      <sz val="11"/>
    </font>
    <font>
      <name val="Arial"/>
      <b val="1"/>
      <color rgb="FF5A6473"/>
      <sz val="10"/>
    </font>
    <font>
      <name val="Arial"/>
      <b val="1"/>
      <color rgb="FF0D2747"/>
      <sz val="11"/>
    </font>
    <font>
      <name val="Arial"/>
      <b val="1"/>
      <color rgb="FF0D2747"/>
      <sz val="10"/>
    </font>
    <font>
      <name val="Arial"/>
      <color rgb="FF333333"/>
      <sz val="9.5"/>
    </font>
    <font>
      <name val="Arial"/>
      <i val="1"/>
      <color rgb="FF5A6473"/>
      <sz val="8.5"/>
    </font>
    <font>
      <name val="Arial"/>
      <b val="1"/>
      <color rgb="FFFFFFFF"/>
      <sz val="14"/>
    </font>
    <font>
      <name val="Arial"/>
      <i val="1"/>
      <color rgb="FF5A6473"/>
      <sz val="9"/>
    </font>
    <font>
      <name val="Arial"/>
      <b val="1"/>
      <color rgb="FFFFFFFF"/>
      <sz val="9.5"/>
    </font>
    <font>
      <name val="Arial"/>
      <color rgb="FF0000FF"/>
      <sz val="10"/>
    </font>
    <font>
      <name val="Arial"/>
      <color rgb="FF1a202c"/>
      <sz val="10"/>
    </font>
    <font>
      <name val="Arial"/>
      <b val="1"/>
      <color rgb="FF000000"/>
      <sz val="10"/>
    </font>
    <font>
      <name val="Arial"/>
      <b val="1"/>
      <color rgb="FF0f4d2e"/>
      <sz val="10"/>
    </font>
    <font>
      <name val="Arial"/>
      <b val="1"/>
      <color rgb="FF8A6D00"/>
      <sz val="10"/>
    </font>
    <font>
      <name val="Arial"/>
      <color rgb="FF000000"/>
      <sz val="10"/>
    </font>
    <font>
      <name val="Arial"/>
      <i val="1"/>
      <color rgb="FF8A6D00"/>
      <sz val="8.5"/>
    </font>
    <font>
      <name val="Arial"/>
      <color rgb="FF333333"/>
      <sz val="9"/>
    </font>
    <font>
      <name val="Arial"/>
      <b val="1"/>
      <color rgb="FFB00020"/>
      <sz val="10"/>
    </font>
    <font>
      <name val="Arial"/>
      <i val="1"/>
      <color rgb="FFB00020"/>
      <sz val="9"/>
    </font>
    <font>
      <name val="Arial"/>
      <color rgb="FF333333"/>
      <sz val="8.5"/>
    </font>
    <font>
      <name val="Arial"/>
      <b val="1"/>
      <color rgb="FF1a202c"/>
      <sz val="9.5"/>
    </font>
    <font>
      <name val="Arial"/>
      <color rgb="FF1a202c"/>
      <sz val="9.5"/>
    </font>
    <font>
      <name val="Calibri"/>
      <color rgb="00000000"/>
      <sz val="10"/>
    </font>
    <font>
      <name val="Calibri"/>
      <b val="1"/>
      <color rgb="00FFFFFF"/>
      <sz val="16"/>
    </font>
    <font>
      <name val="Calibri"/>
      <i val="1"/>
      <color rgb="000D2747"/>
      <sz val="11"/>
    </font>
    <font>
      <name val="Calibri"/>
      <color rgb="001E1E1E"/>
      <sz val="11"/>
    </font>
    <font>
      <name val="Calibri"/>
      <b val="1"/>
      <color rgb="00C89000"/>
      <sz val="12"/>
    </font>
    <font>
      <name val="Calibri"/>
      <color rgb="001E1E1E"/>
      <sz val="10"/>
    </font>
    <font>
      <name val="Calibri"/>
      <b val="1"/>
      <color rgb="000D2747"/>
      <sz val="18"/>
    </font>
    <font>
      <name val="Calibri"/>
      <b val="1"/>
      <color rgb="000D2747"/>
      <sz val="12"/>
      <u val="single"/>
    </font>
    <font>
      <name val="Calibri"/>
      <i val="1"/>
      <color rgb="000D2747"/>
      <sz val="10"/>
    </font>
    <font>
      <name val="Calibri"/>
      <b val="1"/>
      <color rgb="00C89000"/>
      <sz val="10"/>
      <u val="single"/>
    </font>
    <font>
      <name val="Calibri"/>
      <i val="1"/>
      <color rgb="001A1A1A"/>
      <sz val="11"/>
    </font>
    <font>
      <name val="Calibri"/>
      <color rgb="001A1A1A"/>
      <sz val="11"/>
    </font>
    <font>
      <name val="Calibri"/>
      <b val="1"/>
      <color rgb="00C9A227"/>
      <sz val="12"/>
    </font>
    <font>
      <name val="Calibri"/>
      <b val="1"/>
      <color rgb="000D2747"/>
      <sz val="24"/>
    </font>
    <font>
      <name val="Calibri"/>
      <i val="1"/>
      <color rgb="001A1A1A"/>
      <sz val="10"/>
    </font>
    <font>
      <name val="Calibri"/>
      <b val="1"/>
      <color rgb="00C9A227"/>
      <sz val="10"/>
      <u val="single"/>
    </font>
  </fonts>
  <fills count="12">
    <fill>
      <patternFill/>
    </fill>
    <fill>
      <patternFill patternType="gray125"/>
    </fill>
    <fill>
      <patternFill patternType="solid">
        <fgColor rgb="FF0D2747"/>
      </patternFill>
    </fill>
    <fill>
      <patternFill patternType="solid">
        <fgColor rgb="FFF4F8FF"/>
      </patternFill>
    </fill>
    <fill>
      <patternFill patternType="solid">
        <fgColor rgb="FFFBF1D6"/>
      </patternFill>
    </fill>
    <fill>
      <patternFill patternType="solid">
        <fgColor rgb="FFFFF2CC"/>
      </patternFill>
    </fill>
    <fill>
      <patternFill patternType="solid">
        <fgColor rgb="FFEAF5EA"/>
      </patternFill>
    </fill>
    <fill>
      <patternFill patternType="solid">
        <fgColor rgb="FFFBE9E7"/>
      </patternFill>
    </fill>
    <fill>
      <patternFill patternType="solid">
        <fgColor rgb="000D2747"/>
        <bgColor rgb="000D2747"/>
      </patternFill>
    </fill>
    <fill>
      <patternFill patternType="solid">
        <fgColor rgb="00FBF7EC"/>
        <bgColor rgb="00FBF7EC"/>
      </patternFill>
    </fill>
    <fill>
      <patternFill patternType="solid">
        <fgColor rgb="00C89000"/>
        <bgColor rgb="00C89000"/>
      </patternFill>
    </fill>
    <fill>
      <patternFill patternType="solid">
        <fgColor rgb="00C9A227"/>
        <bgColor rgb="00C9A227"/>
      </patternFill>
    </fill>
  </fills>
  <borders count="2">
    <border>
      <left/>
      <right/>
      <top/>
      <bottom/>
      <diagonal/>
    </border>
    <border>
      <left style="thin">
        <color rgb="FFD0D5DD"/>
      </left>
      <right style="thin">
        <color rgb="FFD0D5DD"/>
      </right>
      <top style="thin">
        <color rgb="FFD0D5DD"/>
      </top>
      <bottom style="thin">
        <color rgb="FFD0D5DD"/>
      </bottom>
    </border>
  </borders>
  <cellStyleXfs count="1">
    <xf numFmtId="0" fontId="0" fillId="0" borderId="0"/>
  </cellStyleXfs>
  <cellXfs count="83">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applyAlignment="1" pivotButton="0" quotePrefix="0" xfId="0">
      <alignment horizontal="center"/>
    </xf>
    <xf numFmtId="0" fontId="4" fillId="0" borderId="0" applyAlignment="1" pivotButton="0" quotePrefix="0" xfId="0">
      <alignment horizontal="center"/>
    </xf>
    <xf numFmtId="0" fontId="5" fillId="0" borderId="0" pivotButton="0" quotePrefix="0" xfId="0"/>
    <xf numFmtId="0" fontId="6" fillId="0" borderId="0" pivotButton="0" quotePrefix="0" xfId="0"/>
    <xf numFmtId="0" fontId="7" fillId="0" borderId="0" pivotButton="0" quotePrefix="0" xfId="0"/>
    <xf numFmtId="0" fontId="8" fillId="0" borderId="0" applyAlignment="1" pivotButton="0" quotePrefix="0" xfId="0">
      <alignment vertical="top" wrapText="1"/>
    </xf>
    <xf numFmtId="0" fontId="9" fillId="2" borderId="0" applyAlignment="1" pivotButton="0" quotePrefix="0" xfId="0">
      <alignment horizontal="left" vertical="center" indent="1"/>
    </xf>
    <xf numFmtId="0" fontId="10" fillId="0" borderId="0" applyAlignment="1" pivotButton="0" quotePrefix="0" xfId="0">
      <alignment indent="1"/>
    </xf>
    <xf numFmtId="0" fontId="11" fillId="2" borderId="1" applyAlignment="1" pivotButton="0" quotePrefix="0" xfId="0">
      <alignment horizontal="center" wrapText="1"/>
    </xf>
    <xf numFmtId="164" fontId="12" fillId="3" borderId="1" applyAlignment="1" pivotButton="0" quotePrefix="0" xfId="0">
      <alignment horizontal="right"/>
    </xf>
    <xf numFmtId="0" fontId="13" fillId="0" borderId="0" pivotButton="0" quotePrefix="0" xfId="0"/>
    <xf numFmtId="0" fontId="0" fillId="0" borderId="1" pivotButton="0" quotePrefix="0" xfId="0"/>
    <xf numFmtId="164" fontId="14" fillId="0" borderId="1" applyAlignment="1" pivotButton="0" quotePrefix="0" xfId="0">
      <alignment horizontal="right"/>
    </xf>
    <xf numFmtId="0" fontId="13" fillId="0" borderId="0" applyAlignment="1" pivotButton="0" quotePrefix="0" xfId="0">
      <alignment indent="1"/>
    </xf>
    <xf numFmtId="164" fontId="15" fillId="0" borderId="1" applyAlignment="1" pivotButton="0" quotePrefix="0" xfId="0">
      <alignment horizontal="right"/>
    </xf>
    <xf numFmtId="164" fontId="16" fillId="0" borderId="1" applyAlignment="1" pivotButton="0" quotePrefix="0" xfId="0">
      <alignment horizontal="right"/>
    </xf>
    <xf numFmtId="165" fontId="12" fillId="3" borderId="1" applyAlignment="1" pivotButton="0" quotePrefix="0" xfId="0">
      <alignment horizontal="right"/>
    </xf>
    <xf numFmtId="166" fontId="17" fillId="0" borderId="1" applyAlignment="1" pivotButton="0" quotePrefix="0" xfId="0">
      <alignment horizontal="right"/>
    </xf>
    <xf numFmtId="0" fontId="18" fillId="0" borderId="0" applyAlignment="1" pivotButton="0" quotePrefix="0" xfId="0">
      <alignment vertical="top" wrapText="1"/>
    </xf>
    <xf numFmtId="0" fontId="19" fillId="0" borderId="1" pivotButton="0" quotePrefix="0" xfId="0"/>
    <xf numFmtId="0" fontId="10" fillId="0" borderId="1" pivotButton="0" quotePrefix="0" xfId="0"/>
    <xf numFmtId="164" fontId="20" fillId="0" borderId="1" applyAlignment="1" pivotButton="0" quotePrefix="0" xfId="0">
      <alignment horizontal="right"/>
    </xf>
    <xf numFmtId="0" fontId="21" fillId="0" borderId="1" pivotButton="0" quotePrefix="0" xfId="0"/>
    <xf numFmtId="167" fontId="20" fillId="0" borderId="1" applyAlignment="1" pivotButton="0" quotePrefix="0" xfId="0">
      <alignment horizontal="right"/>
    </xf>
    <xf numFmtId="166" fontId="16" fillId="0" borderId="1" applyAlignment="1" pivotButton="0" quotePrefix="0" xfId="0">
      <alignment horizontal="right"/>
    </xf>
    <xf numFmtId="167" fontId="14" fillId="0" borderId="1" applyAlignment="1" pivotButton="0" quotePrefix="0" xfId="0">
      <alignment horizontal="right"/>
    </xf>
    <xf numFmtId="0" fontId="22" fillId="0" borderId="1" pivotButton="0" quotePrefix="0" xfId="0"/>
    <xf numFmtId="166" fontId="14" fillId="0" borderId="1" applyAlignment="1" pivotButton="0" quotePrefix="0" xfId="0">
      <alignment horizontal="right"/>
    </xf>
    <xf numFmtId="0" fontId="8" fillId="0" borderId="1" pivotButton="0" quotePrefix="0" xfId="0"/>
    <xf numFmtId="0" fontId="6" fillId="4" borderId="0" pivotButton="0" quotePrefix="0" xfId="0"/>
    <xf numFmtId="168" fontId="12" fillId="4" borderId="1" applyAlignment="1" pivotButton="0" quotePrefix="0" xfId="0">
      <alignment horizontal="right"/>
    </xf>
    <xf numFmtId="167" fontId="12" fillId="4" borderId="1" applyAlignment="1" pivotButton="0" quotePrefix="0" xfId="0">
      <alignment horizontal="right"/>
    </xf>
    <xf numFmtId="0" fontId="13" fillId="4" borderId="1" applyAlignment="1" pivotButton="0" quotePrefix="0" xfId="0">
      <alignment horizontal="right"/>
    </xf>
    <xf numFmtId="0" fontId="22" fillId="4" borderId="1" pivotButton="0" quotePrefix="0" xfId="0"/>
    <xf numFmtId="168" fontId="12" fillId="3" borderId="1" applyAlignment="1" pivotButton="0" quotePrefix="0" xfId="0">
      <alignment horizontal="right"/>
    </xf>
    <xf numFmtId="167" fontId="12" fillId="3" borderId="1" applyAlignment="1" pivotButton="0" quotePrefix="0" xfId="0">
      <alignment horizontal="right"/>
    </xf>
    <xf numFmtId="0" fontId="13" fillId="0" borderId="1" applyAlignment="1" pivotButton="0" quotePrefix="0" xfId="0">
      <alignment horizontal="right"/>
    </xf>
    <xf numFmtId="167" fontId="16" fillId="0" borderId="1" applyAlignment="1" pivotButton="0" quotePrefix="0" xfId="0">
      <alignment horizontal="right"/>
    </xf>
    <xf numFmtId="0" fontId="8" fillId="0" borderId="0" pivotButton="0" quotePrefix="0" xfId="0"/>
    <xf numFmtId="166" fontId="12" fillId="5" borderId="1" applyAlignment="1" pivotButton="0" quotePrefix="0" xfId="0">
      <alignment horizontal="right"/>
    </xf>
    <xf numFmtId="164" fontId="12" fillId="5" borderId="1" applyAlignment="1" pivotButton="0" quotePrefix="0" xfId="0">
      <alignment horizontal="right"/>
    </xf>
    <xf numFmtId="0" fontId="10" fillId="0" borderId="0" pivotButton="0" quotePrefix="0" xfId="0"/>
    <xf numFmtId="166" fontId="15" fillId="0" borderId="1" applyAlignment="1" pivotButton="0" quotePrefix="0" xfId="0">
      <alignment horizontal="right"/>
    </xf>
    <xf numFmtId="1" fontId="12" fillId="3" borderId="1" applyAlignment="1" pivotButton="0" quotePrefix="0" xfId="0">
      <alignment horizontal="right"/>
    </xf>
    <xf numFmtId="3" fontId="12" fillId="3" borderId="1" applyAlignment="1" pivotButton="0" quotePrefix="0" xfId="0">
      <alignment horizontal="right"/>
    </xf>
    <xf numFmtId="165" fontId="12" fillId="5" borderId="1" applyAlignment="1" pivotButton="0" quotePrefix="0" xfId="0">
      <alignment horizontal="right"/>
    </xf>
    <xf numFmtId="4" fontId="12" fillId="3" borderId="1" applyAlignment="1" pivotButton="0" quotePrefix="0" xfId="0">
      <alignment horizontal="right"/>
    </xf>
    <xf numFmtId="49" fontId="12" fillId="3" borderId="1" applyAlignment="1" pivotButton="0" quotePrefix="0" xfId="0">
      <alignment horizontal="right"/>
    </xf>
    <xf numFmtId="169" fontId="12" fillId="5" borderId="1" applyAlignment="1" pivotButton="0" quotePrefix="0" xfId="0">
      <alignment horizontal="right"/>
    </xf>
    <xf numFmtId="166" fontId="20" fillId="0" borderId="1" applyAlignment="1" pivotButton="0" quotePrefix="0" xfId="0">
      <alignment horizontal="right"/>
    </xf>
    <xf numFmtId="0" fontId="23" fillId="6" borderId="1" pivotButton="0" quotePrefix="0" xfId="0"/>
    <xf numFmtId="0" fontId="24" fillId="6" borderId="1" applyAlignment="1" pivotButton="0" quotePrefix="0" xfId="0">
      <alignment horizontal="right"/>
    </xf>
    <xf numFmtId="0" fontId="22" fillId="6" borderId="1" pivotButton="0" quotePrefix="0" xfId="0"/>
    <xf numFmtId="0" fontId="23" fillId="4" borderId="1" pivotButton="0" quotePrefix="0" xfId="0"/>
    <xf numFmtId="0" fontId="24" fillId="4" borderId="1" applyAlignment="1" pivotButton="0" quotePrefix="0" xfId="0">
      <alignment horizontal="right"/>
    </xf>
    <xf numFmtId="0" fontId="23" fillId="7" borderId="1" pivotButton="0" quotePrefix="0" xfId="0"/>
    <xf numFmtId="0" fontId="24" fillId="7" borderId="1" applyAlignment="1" pivotButton="0" quotePrefix="0" xfId="0">
      <alignment horizontal="right"/>
    </xf>
    <xf numFmtId="0" fontId="22" fillId="7" borderId="1" pivotButton="0" quotePrefix="0" xfId="0"/>
    <xf numFmtId="164" fontId="25" fillId="0" borderId="1" applyAlignment="1" pivotButton="0" quotePrefix="0" xfId="0">
      <alignment horizontal="right"/>
    </xf>
    <xf numFmtId="166" fontId="25" fillId="0" borderId="1" applyAlignment="1" pivotButton="0" quotePrefix="0" xfId="0">
      <alignment horizontal="right"/>
    </xf>
    <xf numFmtId="167" fontId="25" fillId="0" borderId="1" applyAlignment="1" pivotButton="0" quotePrefix="0" xfId="0">
      <alignment horizontal="right"/>
    </xf>
    <xf numFmtId="0" fontId="26" fillId="8" borderId="0" applyAlignment="1" pivotButton="0" quotePrefix="0" xfId="0">
      <alignment horizontal="center" vertical="center" wrapText="1"/>
    </xf>
    <xf numFmtId="0" fontId="27" fillId="9" borderId="0" applyAlignment="1" pivotButton="0" quotePrefix="0" xfId="0">
      <alignment horizontal="center" vertical="center" wrapText="1"/>
    </xf>
    <xf numFmtId="0" fontId="28" fillId="9" borderId="0" applyAlignment="1" pivotButton="0" quotePrefix="0" xfId="0">
      <alignment horizontal="center" vertical="center" wrapText="1"/>
    </xf>
    <xf numFmtId="0" fontId="29" fillId="8" borderId="0" applyAlignment="1" pivotButton="0" quotePrefix="0" xfId="0">
      <alignment horizontal="center" vertical="center" wrapText="1"/>
    </xf>
    <xf numFmtId="0" fontId="30" fillId="9" borderId="0" applyAlignment="1" pivotButton="0" quotePrefix="0" xfId="0">
      <alignment horizontal="left" vertical="center" wrapText="1" indent="1"/>
    </xf>
    <xf numFmtId="0" fontId="30" fillId="9" borderId="0" applyAlignment="1" pivotButton="0" quotePrefix="0" xfId="0">
      <alignment horizontal="center" vertical="center" wrapText="1"/>
    </xf>
    <xf numFmtId="0" fontId="31" fillId="10" borderId="0" applyAlignment="1" pivotButton="0" quotePrefix="0" xfId="0">
      <alignment horizontal="center" vertical="center" wrapText="1"/>
    </xf>
    <xf numFmtId="0" fontId="32" fillId="9" borderId="0" applyAlignment="1" pivotButton="0" quotePrefix="0" xfId="0">
      <alignment horizontal="center" vertical="center" wrapText="1"/>
    </xf>
    <xf numFmtId="0" fontId="33" fillId="9" borderId="0" applyAlignment="1" pivotButton="0" quotePrefix="0" xfId="0">
      <alignment horizontal="center" vertical="center" wrapText="1"/>
    </xf>
    <xf numFmtId="0" fontId="34" fillId="9" borderId="0" applyAlignment="1" pivotButton="0" quotePrefix="0" xfId="0">
      <alignment horizontal="center" vertical="center" wrapText="1"/>
    </xf>
    <xf numFmtId="0" fontId="26" fillId="8" borderId="0" applyAlignment="1" pivotButton="0" quotePrefix="0" xfId="0">
      <alignment horizontal="center" vertical="center"/>
    </xf>
    <xf numFmtId="0" fontId="35" fillId="9" borderId="0" applyAlignment="1" pivotButton="0" quotePrefix="0" xfId="0">
      <alignment horizontal="center" vertical="center"/>
    </xf>
    <xf numFmtId="0" fontId="36" fillId="0" borderId="0" applyAlignment="1" pivotButton="0" quotePrefix="0" xfId="0">
      <alignment horizontal="center" vertical="center" wrapText="1"/>
    </xf>
    <xf numFmtId="0" fontId="37" fillId="8" borderId="0" applyAlignment="1" pivotButton="0" quotePrefix="0" xfId="0">
      <alignment horizontal="center" vertical="center"/>
    </xf>
    <xf numFmtId="0" fontId="35" fillId="0" borderId="0" applyAlignment="1" pivotButton="0" quotePrefix="0" xfId="0">
      <alignment horizontal="center" vertical="center"/>
    </xf>
    <xf numFmtId="0" fontId="38" fillId="11" borderId="0" applyAlignment="1" pivotButton="0" quotePrefix="0" xfId="0">
      <alignment horizontal="center" vertical="center"/>
    </xf>
    <xf numFmtId="0" fontId="32" fillId="9" borderId="0" applyAlignment="1" pivotButton="0" quotePrefix="0" xfId="0">
      <alignment horizontal="center" vertical="center"/>
    </xf>
    <xf numFmtId="0" fontId="39" fillId="9" borderId="0" applyAlignment="1" pivotButton="0" quotePrefix="0" xfId="0">
      <alignment horizontal="center" vertical="center"/>
    </xf>
    <xf numFmtId="0" fontId="40" fillId="9"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baratelliinstitute.gumroad.com/l/isetaw" TargetMode="External" Id="rId1"/><Relationship Type="http://schemas.openxmlformats.org/officeDocument/2006/relationships/hyperlink" Target="https://baratelliinstitute.com" TargetMode="External" Id="rId2"/></Relationships>
</file>

<file path=xl/worksheets/sheet1.xml><?xml version="1.0" encoding="utf-8"?>
<worksheet xmlns="http://schemas.openxmlformats.org/spreadsheetml/2006/main">
  <sheetPr>
    <outlinePr summaryBelow="1" summaryRight="1"/>
    <pageSetUpPr/>
  </sheetPr>
  <dimension ref="A1:F17"/>
  <sheetViews>
    <sheetView showGridLines="0" tabSelected="0"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s>
  <sheetData>
    <row r="1" ht="32" customHeight="1">
      <c r="A1" s="74" t="inlineStr">
        <is>
          <t>THE BARATELLI FINANCIAL MODELING TOOLKIT</t>
        </is>
      </c>
    </row>
    <row r="2" ht="22" customHeight="1">
      <c r="A2" s="75" t="inlineStr">
        <is>
          <t>Production templates for M&amp;A, valuation, PE, and 3-statement modeling</t>
        </is>
      </c>
    </row>
    <row r="3" ht="12" customHeight="1"/>
    <row r="4" ht="34" customHeight="1">
      <c r="A4" s="76" t="inlineStr">
        <is>
          <t>You are looking at one case study Excel model. The full Toolkit gives you the production templates blank-and-ready for YOUR own deals.</t>
        </is>
      </c>
    </row>
    <row r="5" ht="10" customHeight="1"/>
    <row r="6" ht="22" customHeight="1">
      <c r="A6" s="77" t="inlineStr">
        <is>
          <t>26 Excel templates + 50+ page methodology PDF</t>
        </is>
      </c>
    </row>
    <row r="7" ht="10" customHeight="1"/>
    <row r="8" ht="20" customHeight="1">
      <c r="A8" s="78" t="inlineStr">
        <is>
          <t>Built by CPAs, MBAs, and career practitioners</t>
        </is>
      </c>
    </row>
    <row r="9" ht="12" customHeight="1"/>
    <row r="10" ht="40" customHeight="1">
      <c r="A10" s="79" t="inlineStr">
        <is>
          <t>$99 USD</t>
        </is>
      </c>
    </row>
    <row r="11" ht="22" customHeight="1">
      <c r="A11" s="80" t="inlineStr">
        <is>
          <t>at gumroad.com/l/isetaw</t>
        </is>
      </c>
    </row>
    <row r="12" ht="10" customHeight="1"/>
    <row r="13" ht="18" customHeight="1">
      <c r="A13" s="81" t="inlineStr">
        <is>
          <t>Also available: £79 GBP · €89 EUR</t>
        </is>
      </c>
    </row>
    <row r="14" ht="10" customHeight="1"/>
    <row r="15" ht="20" customHeight="1">
      <c r="A15" s="81" t="inlineStr">
        <is>
          <t>Enterprise licensing available for firms. Contact enterprise@baratelliinstitute.com</t>
        </is>
      </c>
    </row>
    <row r="16" ht="10" customHeight="1"/>
    <row r="17" ht="20" customHeight="1">
      <c r="A17" s="82" t="inlineStr">
        <is>
          <t>baratelliinstitute.com</t>
        </is>
      </c>
    </row>
  </sheetData>
  <mergeCells count="10">
    <mergeCell ref="A2:F2"/>
    <mergeCell ref="A11:F11"/>
    <mergeCell ref="A10:F10"/>
    <mergeCell ref="A13:F13"/>
    <mergeCell ref="A1:F1"/>
    <mergeCell ref="A8:F8"/>
    <mergeCell ref="A6:F6"/>
    <mergeCell ref="A17:F17"/>
    <mergeCell ref="A4:F4"/>
    <mergeCell ref="A15:F15"/>
  </mergeCells>
  <hyperlinks>
    <hyperlink xmlns:r="http://schemas.openxmlformats.org/officeDocument/2006/relationships" ref="A11" r:id="rId1"/>
    <hyperlink xmlns:r="http://schemas.openxmlformats.org/officeDocument/2006/relationships" ref="A17" r:id="rId2"/>
  </hyperlinks>
  <pageMargins left="0.75" right="0.75" top="1" bottom="1" header="0.5" footer="0.5"/>
</worksheet>
</file>

<file path=xl/worksheets/sheet10.xml><?xml version="1.0" encoding="utf-8"?>
<worksheet xmlns="http://schemas.openxmlformats.org/spreadsheetml/2006/main">
  <sheetPr>
    <outlinePr summaryBelow="1" summaryRight="1"/>
    <pageSetUpPr fitToPage="1"/>
  </sheetPr>
  <dimension ref="A1:D32"/>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34" customWidth="1" min="1" max="1"/>
    <col width="18" customWidth="1" min="2" max="2"/>
    <col width="18" customWidth="1" min="3" max="3"/>
    <col width="40" customWidth="1" min="4" max="4"/>
  </cols>
  <sheetData>
    <row r="1" ht="26" customHeight="1">
      <c r="A1" s="9" t="inlineStr">
        <is>
          <t>IRS Transfer-Pricing Dispute — Risk &amp; Sensitivity</t>
        </is>
      </c>
    </row>
    <row r="2">
      <c r="A2" s="10" t="inlineStr">
        <is>
          <t>$ in billions unless noted. A scenario tool, not a prediction. The live risk lens of this case.</t>
        </is>
      </c>
    </row>
    <row r="5">
      <c r="A5" s="6" t="inlineStr">
        <is>
          <t>THE DISPUTE (facts)</t>
        </is>
      </c>
    </row>
    <row r="6">
      <c r="A6" s="13" t="inlineStr">
        <is>
          <t>Tax years at issue (initial case)</t>
        </is>
      </c>
      <c r="B6" s="50" t="inlineStr">
        <is>
          <t>2007-2009</t>
        </is>
      </c>
      <c r="C6" s="44" t="inlineStr">
        <is>
          <t>The IRS reallocated ~$9B of income to the U.S. parent</t>
        </is>
      </c>
    </row>
    <row r="7">
      <c r="A7" s="13" t="inlineStr">
        <is>
          <t>2020 U.S. Tax Court ruling</t>
        </is>
      </c>
      <c r="B7" s="50" t="inlineStr">
        <is>
          <t>For the IRS</t>
        </is>
      </c>
      <c r="C7" s="44" t="inlineStr">
        <is>
          <t>Judge Lauber rejected KO's 1996 '10-50-50' method</t>
        </is>
      </c>
    </row>
    <row r="8">
      <c r="A8" s="13" t="inlineStr">
        <is>
          <t>Deposit already paid (2024)</t>
        </is>
      </c>
      <c r="B8" s="12" t="n">
        <v>6</v>
      </c>
      <c r="C8" s="44" t="inlineStr">
        <is>
          <t>Cash deposit to IRS after the Tax Court loss</t>
        </is>
      </c>
    </row>
    <row r="9">
      <c r="A9" s="13" t="inlineStr">
        <is>
          <t>Estimated total exposure (through 2025)</t>
        </is>
      </c>
      <c r="B9" s="43" t="n">
        <v>20</v>
      </c>
      <c r="C9" s="44" t="inlineStr">
        <is>
          <t>KO's own disclosed potential aggregate (~$20B incl. interest)</t>
        </is>
      </c>
    </row>
    <row r="10">
      <c r="A10" s="6" t="inlineStr">
        <is>
          <t>Incremental exposure if fully lost</t>
        </is>
      </c>
      <c r="B10" s="24">
        <f>B9-B8</f>
        <v/>
      </c>
      <c r="C10" s="44" t="inlineStr">
        <is>
          <t>Beyond the $6.0B already deposited</t>
        </is>
      </c>
    </row>
    <row r="11">
      <c r="A11" s="13" t="inlineStr">
        <is>
          <t>Amount reserved on the books</t>
        </is>
      </c>
      <c r="B11" s="12" t="n">
        <v>0.52</v>
      </c>
      <c r="C11" s="44" t="inlineStr">
        <is>
          <t>KO reserves only ~$520M — it expects to win</t>
        </is>
      </c>
    </row>
    <row r="12">
      <c r="A12" s="6" t="inlineStr">
        <is>
          <t>Unreserved exposure</t>
        </is>
      </c>
      <c r="B12" s="24">
        <f>B9-B11</f>
        <v/>
      </c>
      <c r="C12" s="44" t="inlineStr">
        <is>
          <t>Gap between exposure and reserve</t>
        </is>
      </c>
    </row>
    <row r="14">
      <c r="A14" s="6" t="inlineStr">
        <is>
          <t>THE ONGOING RATE EFFECT</t>
        </is>
      </c>
    </row>
    <row r="15">
      <c r="A15" s="13" t="inlineStr">
        <is>
          <t>ETR increase if KO loses (ppt)</t>
        </is>
      </c>
      <c r="B15" s="51" t="n">
        <v>3.5</v>
      </c>
      <c r="C15" s="44" t="inlineStr">
        <is>
          <t>KO's disclosed effect on the going-forward tax rate</t>
        </is>
      </c>
    </row>
    <row r="16">
      <c r="A16" s="13" t="inlineStr">
        <is>
          <t>Pre-tax income (FY2025, est.)</t>
        </is>
      </c>
      <c r="B16" s="12" t="n">
        <v>16.3</v>
      </c>
      <c r="C16" s="44" t="inlineStr">
        <is>
          <t>From Income Statement tab (est.)</t>
        </is>
      </c>
    </row>
    <row r="17">
      <c r="A17" s="6" t="inlineStr">
        <is>
          <t>Added annual cash tax (rate effect)</t>
        </is>
      </c>
      <c r="B17" s="24">
        <f>B16*B15/100</f>
        <v/>
      </c>
      <c r="C17" s="44" t="inlineStr">
        <is>
          <t>Roughly $0.5-0.6B a year, every year</t>
        </is>
      </c>
    </row>
    <row r="18">
      <c r="A18" s="6" t="inlineStr">
        <is>
          <t>As share of FY2025 net income</t>
        </is>
      </c>
      <c r="B18" s="52">
        <f>B17/13.1</f>
        <v/>
      </c>
      <c r="C18" s="44" t="inlineStr">
        <is>
          <t>Permanent ~4-5% haircut to earnings</t>
        </is>
      </c>
    </row>
    <row r="20">
      <c r="A20" s="6" t="inlineStr">
        <is>
          <t>SCENARIOS (illustrative)</t>
        </is>
      </c>
    </row>
    <row r="21" ht="24" customHeight="1">
      <c r="A21" s="11" t="inlineStr">
        <is>
          <t>Scenario</t>
        </is>
      </c>
      <c r="B21" s="11" t="inlineStr">
        <is>
          <t>One-time cash</t>
        </is>
      </c>
      <c r="C21" s="11" t="inlineStr">
        <is>
          <t>Annual EPS drag</t>
        </is>
      </c>
      <c r="D21" s="11" t="inlineStr">
        <is>
          <t>Read</t>
        </is>
      </c>
    </row>
    <row r="22">
      <c r="A22" s="53" t="inlineStr">
        <is>
          <t>Win on appeal</t>
        </is>
      </c>
      <c r="B22" s="54" t="inlineStr">
        <is>
          <t>refund of $6.0B</t>
        </is>
      </c>
      <c r="C22" s="54" t="inlineStr">
        <is>
          <t>none</t>
        </is>
      </c>
      <c r="D22" s="55" t="inlineStr">
        <is>
          <t>KO's base case; deposit + booked interest returns</t>
        </is>
      </c>
    </row>
    <row r="23">
      <c r="A23" s="56" t="inlineStr">
        <is>
          <t>Partial / settlement</t>
        </is>
      </c>
      <c r="B23" s="57" t="inlineStr">
        <is>
          <t>$6-13B total</t>
        </is>
      </c>
      <c r="C23" s="57" t="inlineStr">
        <is>
          <t>~1-2 ppt</t>
        </is>
      </c>
      <c r="D23" s="36" t="inlineStr">
        <is>
          <t>Method survives in part; rate effect muted</t>
        </is>
      </c>
    </row>
    <row r="24">
      <c r="A24" s="58" t="inlineStr">
        <is>
          <t>Full loss</t>
        </is>
      </c>
      <c r="B24" s="59" t="inlineStr">
        <is>
          <t>~$20B aggregate</t>
        </is>
      </c>
      <c r="C24" s="59" t="inlineStr">
        <is>
          <t>~3.5 ppt</t>
        </is>
      </c>
      <c r="D24" s="60" t="inlineStr">
        <is>
          <t>Borrow to fund; permanent ~$0.5B/yr tax drag</t>
        </is>
      </c>
    </row>
    <row r="26">
      <c r="A26" s="21" t="inlineStr">
        <is>
          <t>Coca-Cola is appealing the 2020 Tax Court decision to the U.S. Court of Appeals for the Eleventh Circuit, where the case is fully briefed and awaiting oral argument. The dispute turns on the transfer-pricing method (the 1996 'closing agreement' 10-50-50 split) used to allocate profit between the U.S. parent and foreign licensees/supply points. KO discloses a potential aggregate exposure approaching $20B including interest, has already deposited ~$6.0B, reserves only ~$520M (signalling confidence), and has said a full loss could raise its going-forward effective tax rate by ~3.5 points and may require borrowing. Three of the Big Four accounting firms, the U.S. Chamber of Commerce and the NFTC have filed in support of Coca-Cola; the IRS is litigating parallel transfer-pricing cases against Meta and Amgen. This tab is an illustrative scenario tool calibrated to KO's own disclosures, NOT a prediction of the outcome or legal advice. Sources: KO 10-K/10-Q tax disclosures; U.S. Tax Court (2020).</t>
        </is>
      </c>
    </row>
    <row r="27"/>
    <row r="28"/>
    <row r="29"/>
    <row r="30"/>
    <row r="31"/>
    <row r="32"/>
  </sheetData>
  <mergeCells count="3">
    <mergeCell ref="A26:D32"/>
    <mergeCell ref="A1:D1"/>
    <mergeCell ref="A2:D2"/>
  </mergeCells>
  <printOptions horizontalCentered="1"/>
  <pageMargins left="0.5" right="0.5" top="0.5" bottom="0.5" header="0.3" footer="0.3"/>
  <pageSetup orientation="landscape" paperSize="1" fitToHeight="0" fitToWidth="1"/>
  <headerFooter>
    <oddHeader>&amp;L&amp;8 &amp;K3C3F45IRS Transfer-Pricing Risk&amp;R&amp;8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F18"/>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2" customWidth="1" min="1" max="1"/>
    <col width="26" customWidth="1" min="2" max="2"/>
    <col width="70" customWidth="1" min="3" max="3"/>
    <col width="10" customWidth="1" min="4" max="4"/>
    <col width="10" customWidth="1" min="5" max="5"/>
    <col width="10" customWidth="1" min="6" max="6"/>
  </cols>
  <sheetData>
    <row r="1" ht="24" customHeight="1">
      <c r="A1" s="1" t="inlineStr">
        <is>
          <t>THE BARATELLI INSTITUTE  ·  BERKSHIRE READ</t>
        </is>
      </c>
    </row>
    <row r="3">
      <c r="A3" s="2" t="inlineStr">
        <is>
          <t>The Coca-Cola Company (KO) — Full Financial Model</t>
        </is>
      </c>
    </row>
    <row r="4">
      <c r="A4" s="3" t="inlineStr">
        <is>
          <t>Case 6 companion  ·  $ in billions unless noted  ·  2026 edition</t>
        </is>
      </c>
    </row>
    <row r="5">
      <c r="A5" s="4" t="inlineStr">
        <is>
          <t>Last updated June 22, 2026</t>
        </is>
      </c>
    </row>
    <row r="6">
      <c r="B6" s="5" t="inlineStr">
        <is>
          <t>Tabs in this workbook</t>
        </is>
      </c>
    </row>
    <row r="7">
      <c r="B7" s="6" t="inlineStr">
        <is>
          <t>Income Statement</t>
        </is>
      </c>
      <c r="C7" s="7" t="inlineStr">
        <is>
          <t>Revenue, margins, operating income, net income — FY2023-FY2025 + Q1'26</t>
        </is>
      </c>
    </row>
    <row r="8">
      <c r="B8" s="6" t="inlineStr">
        <is>
          <t>Balance Sheet</t>
        </is>
      </c>
      <c r="C8" s="7" t="inlineStr">
        <is>
          <t>Net-debt balance sheet: ~$13B cash vs ~$45B debt = ~$30B net debt</t>
        </is>
      </c>
    </row>
    <row r="9">
      <c r="B9" s="6" t="inlineStr">
        <is>
          <t>Cash Flow Statement</t>
        </is>
      </c>
      <c r="C9" s="7" t="inlineStr">
        <is>
          <t>OCF, capex, free cash flow — and the two ~$6B one-time cash drains</t>
        </is>
      </c>
    </row>
    <row r="10">
      <c r="B10" s="6" t="inlineStr">
        <is>
          <t>Segments</t>
        </is>
      </c>
      <c r="C10" s="7" t="inlineStr">
        <is>
          <t>Six operating segments + Corporate — FY2024 (10-K)</t>
        </is>
      </c>
    </row>
    <row r="11">
      <c r="B11" s="6" t="inlineStr">
        <is>
          <t>Valuation vs Staples</t>
        </is>
      </c>
      <c r="C11" s="7" t="inlineStr">
        <is>
          <t>P/E, EV/EBITDA, dividend yield vs PEP, MDLZ, KDP</t>
        </is>
      </c>
    </row>
    <row r="12">
      <c r="B12" s="6" t="inlineStr">
        <is>
          <t>Returns &amp; Capital Quality</t>
        </is>
      </c>
      <c r="C12" s="7" t="inlineStr">
        <is>
          <t>ROIC, ROE, FCF margin, 64-year dividend record</t>
        </is>
      </c>
    </row>
    <row r="13">
      <c r="B13" s="6" t="inlineStr">
        <is>
          <t>Position vs BRK</t>
        </is>
      </c>
      <c r="C13" s="7" t="inlineStr">
        <is>
          <t>Berkshire's 400M-share stake, 62% yield-on-cost, look-through earnings</t>
        </is>
      </c>
    </row>
    <row r="14">
      <c r="B14" s="6" t="inlineStr">
        <is>
          <t>IRS Transfer-Pricing Risk</t>
        </is>
      </c>
      <c r="C14" s="7" t="inlineStr">
        <is>
          <t>The live risk lens: ~$20B at stake, ETR &amp; cash sensitivity</t>
        </is>
      </c>
    </row>
    <row r="15">
      <c r="B15" s="8" t="inlineStr">
        <is>
          <t>Blue = input  ·  Black = formula  ·  Green = cross-sheet link  ·  Yellow = key assumption. FY2023 and FY2024 figures are reported (Coca-Cola Q4/FY2024 8-K earnings release). FY2025 and Q1'26 figures are from the FY2025 and Q1'26 earnings releases; some FY2025 balance-sheet and cash-flow sub-lines are estimates that tie to reported totals (flagged 'est.') pending the FY2025 10-K. The IRS sensitivity tab is a scenario tool, not a prediction. Educational analysis, not investment, tax, or legal advice. (c) 2026 The Baratelli Institute.</t>
        </is>
      </c>
    </row>
    <row r="16"/>
    <row r="17"/>
    <row r="18"/>
  </sheetData>
  <mergeCells count="5">
    <mergeCell ref="B15:F18"/>
    <mergeCell ref="A1:F1"/>
    <mergeCell ref="A5:F5"/>
    <mergeCell ref="A4:F4"/>
    <mergeCell ref="A3:F3"/>
  </mergeCells>
  <printOptions horizontalCentered="1"/>
  <pageMargins left="0.5" right="0.5" top="0.5" bottom="0.5" header="0.3" footer="0.3"/>
  <pageSetup orientation="landscape" paperSize="1" fitToHeight="0" fitToWidth="1"/>
  <headerFooter>
    <oddHeader>&amp;L&amp;8 &amp;K3C3F45Cover&amp;R&amp;8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A1:F36"/>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32" customWidth="1" min="1" max="1"/>
    <col width="12" customWidth="1" min="2" max="2"/>
    <col width="12" customWidth="1" min="3" max="3"/>
    <col width="12" customWidth="1" min="4" max="4"/>
    <col width="12" customWidth="1" min="5" max="5"/>
    <col width="3" customWidth="1" min="6" max="6"/>
  </cols>
  <sheetData>
    <row r="1" ht="26" customHeight="1">
      <c r="A1" s="9" t="inlineStr">
        <is>
          <t>Income Statement</t>
        </is>
      </c>
    </row>
    <row r="2">
      <c r="A2" s="10" t="inlineStr">
        <is>
          <t>$ in billions. FY2023-FY2024 reported; FY2025 &amp; Q1'26 reported (est. expense split). Margins computed.</t>
        </is>
      </c>
    </row>
    <row r="4" ht="24" customHeight="1">
      <c r="A4" s="11" t="inlineStr">
        <is>
          <t>($B)</t>
        </is>
      </c>
      <c r="B4" s="11" t="inlineStr">
        <is>
          <t>FY2023</t>
        </is>
      </c>
      <c r="C4" s="11" t="inlineStr">
        <is>
          <t>FY2024</t>
        </is>
      </c>
      <c r="D4" s="11" t="inlineStr">
        <is>
          <t>FY2025</t>
        </is>
      </c>
      <c r="E4" s="11" t="inlineStr">
        <is>
          <t>Q1 2026</t>
        </is>
      </c>
    </row>
    <row r="5">
      <c r="A5" s="6" t="inlineStr">
        <is>
          <t>Net operating revenues</t>
        </is>
      </c>
      <c r="B5" s="12" t="n">
        <v>45.754</v>
      </c>
      <c r="C5" s="12" t="n">
        <v>47.061</v>
      </c>
      <c r="D5" s="12" t="n">
        <v>47.9</v>
      </c>
      <c r="E5" s="12" t="n">
        <v>12.5</v>
      </c>
    </row>
    <row r="6">
      <c r="A6" s="13" t="inlineStr">
        <is>
          <t>Cost of goods sold</t>
        </is>
      </c>
      <c r="B6" s="12" t="n">
        <v>18.52</v>
      </c>
      <c r="C6" s="12" t="n">
        <v>18.324</v>
      </c>
      <c r="D6" s="12" t="n">
        <v>18.6</v>
      </c>
      <c r="E6" s="14" t="inlineStr"/>
    </row>
    <row r="7">
      <c r="A7" s="6" t="inlineStr">
        <is>
          <t>Gross profit</t>
        </is>
      </c>
      <c r="B7" s="61">
        <f>B5-B6</f>
        <v/>
      </c>
      <c r="C7" s="61">
        <f>C5-C6</f>
        <v/>
      </c>
      <c r="D7" s="61">
        <f>D5-D6</f>
        <v/>
      </c>
      <c r="E7" s="14" t="inlineStr"/>
    </row>
    <row r="8">
      <c r="A8" s="16" t="inlineStr">
        <is>
          <t>Selling, general &amp; administrative</t>
        </is>
      </c>
      <c r="B8" s="12" t="n">
        <v>13.972</v>
      </c>
      <c r="C8" s="12" t="n">
        <v>14.582</v>
      </c>
      <c r="D8" s="12" t="n">
        <v>14.9</v>
      </c>
      <c r="E8" s="14" t="inlineStr"/>
    </row>
    <row r="9">
      <c r="A9" s="16" t="inlineStr">
        <is>
          <t>Other operating charges</t>
        </is>
      </c>
      <c r="B9" s="12" t="n">
        <v>1.951</v>
      </c>
      <c r="C9" s="12" t="n">
        <v>4.163</v>
      </c>
      <c r="D9" s="12" t="n">
        <v>0.6</v>
      </c>
      <c r="E9" s="14" t="inlineStr"/>
    </row>
    <row r="10">
      <c r="A10" s="6" t="inlineStr">
        <is>
          <t>Operating income</t>
        </is>
      </c>
      <c r="B10" s="17">
        <f>B7-B8-B9</f>
        <v/>
      </c>
      <c r="C10" s="17">
        <f>C7-C8-C9</f>
        <v/>
      </c>
      <c r="D10" s="17">
        <f>D7-D8-D9</f>
        <v/>
      </c>
      <c r="E10" s="17">
        <f>12.5*0.31</f>
        <v/>
      </c>
    </row>
    <row r="11">
      <c r="A11" s="13" t="inlineStr">
        <is>
          <t>Interest income</t>
        </is>
      </c>
      <c r="B11" s="12" t="n">
        <v>0.907</v>
      </c>
      <c r="C11" s="12" t="n">
        <v>0.988</v>
      </c>
      <c r="D11" s="12" t="n">
        <v>1</v>
      </c>
      <c r="E11" s="14" t="inlineStr"/>
    </row>
    <row r="12">
      <c r="A12" s="13" t="inlineStr">
        <is>
          <t>Interest expense</t>
        </is>
      </c>
      <c r="B12" s="12" t="n">
        <v>1.527</v>
      </c>
      <c r="C12" s="12" t="n">
        <v>1.656</v>
      </c>
      <c r="D12" s="12" t="n">
        <v>1.7</v>
      </c>
      <c r="E12" s="14" t="inlineStr"/>
    </row>
    <row r="13">
      <c r="A13" s="13" t="inlineStr">
        <is>
          <t>Equity income, net</t>
        </is>
      </c>
      <c r="B13" s="12" t="n">
        <v>1.691</v>
      </c>
      <c r="C13" s="12" t="n">
        <v>1.77</v>
      </c>
      <c r="D13" s="12" t="n">
        <v>1.8</v>
      </c>
      <c r="E13" s="14" t="inlineStr"/>
    </row>
    <row r="14">
      <c r="A14" s="13" t="inlineStr">
        <is>
          <t>Other income / (expense), net</t>
        </is>
      </c>
      <c r="B14" s="12" t="n">
        <v>0.57</v>
      </c>
      <c r="C14" s="12" t="n">
        <v>1.992</v>
      </c>
      <c r="D14" s="12" t="n">
        <v>1</v>
      </c>
      <c r="E14" s="14" t="inlineStr"/>
    </row>
    <row r="15">
      <c r="A15" s="6" t="inlineStr">
        <is>
          <t>Income before income taxes</t>
        </is>
      </c>
      <c r="B15" s="61">
        <f>B10+B11-B12+B13+B14</f>
        <v/>
      </c>
      <c r="C15" s="61">
        <f>C10+C11-C12+C13+C14</f>
        <v/>
      </c>
      <c r="D15" s="61">
        <f>D10+D11-D12+D13+D14</f>
        <v/>
      </c>
      <c r="E15" s="14" t="inlineStr"/>
    </row>
    <row r="16">
      <c r="A16" s="13" t="inlineStr">
        <is>
          <t>Income taxes</t>
        </is>
      </c>
      <c r="B16" s="12" t="n">
        <v>2.249</v>
      </c>
      <c r="C16" s="12" t="n">
        <v>2.437</v>
      </c>
      <c r="D16" s="12" t="n">
        <v>2.7</v>
      </c>
      <c r="E16" s="14" t="inlineStr"/>
    </row>
    <row r="17">
      <c r="A17" s="6" t="inlineStr">
        <is>
          <t>Consolidated net income</t>
        </is>
      </c>
      <c r="B17" s="61">
        <f>B15-B16</f>
        <v/>
      </c>
      <c r="C17" s="61">
        <f>C15-C16</f>
        <v/>
      </c>
      <c r="D17" s="61">
        <f>D15-D16</f>
        <v/>
      </c>
      <c r="E17" s="14" t="inlineStr"/>
    </row>
    <row r="18">
      <c r="A18" s="16" t="inlineStr">
        <is>
          <t>Less: noncontrolling interests</t>
        </is>
      </c>
      <c r="B18" s="12" t="n">
        <v>-0.011</v>
      </c>
      <c r="C18" s="12" t="n">
        <v>0.018</v>
      </c>
      <c r="D18" s="12" t="n">
        <v>0.02</v>
      </c>
      <c r="E18" s="14" t="inlineStr"/>
    </row>
    <row r="19">
      <c r="A19" s="6" t="inlineStr">
        <is>
          <t>Net income — shareowners</t>
        </is>
      </c>
      <c r="B19" s="17">
        <f>B17-B18</f>
        <v/>
      </c>
      <c r="C19" s="17">
        <f>C17-C18</f>
        <v/>
      </c>
      <c r="D19" s="17">
        <f>D17-D18</f>
        <v/>
      </c>
      <c r="E19" s="17">
        <f>3.9</f>
        <v/>
      </c>
    </row>
    <row r="20">
      <c r="A20" s="13" t="inlineStr">
        <is>
          <t>Depreciation &amp; amortization</t>
        </is>
      </c>
      <c r="B20" s="12" t="n">
        <v>1.128</v>
      </c>
      <c r="C20" s="12" t="n">
        <v>1.075</v>
      </c>
      <c r="D20" s="12" t="n">
        <v>1.1</v>
      </c>
      <c r="E20" s="14" t="inlineStr"/>
    </row>
    <row r="21">
      <c r="A21" s="6" t="inlineStr">
        <is>
          <t>EBITDA (op income + D&amp;A)</t>
        </is>
      </c>
      <c r="B21" s="18">
        <f>B10+B20</f>
        <v/>
      </c>
      <c r="C21" s="18">
        <f>C10+C20</f>
        <v/>
      </c>
      <c r="D21" s="18">
        <f>D10+D20</f>
        <v/>
      </c>
      <c r="E21" s="14" t="inlineStr"/>
    </row>
    <row r="23">
      <c r="A23" s="13" t="inlineStr">
        <is>
          <t>Diluted EPS ($/share)</t>
        </is>
      </c>
      <c r="B23" s="19" t="n">
        <v>2.47</v>
      </c>
      <c r="C23" s="19" t="n">
        <v>2.46</v>
      </c>
      <c r="D23" s="19" t="n">
        <v>3.04</v>
      </c>
      <c r="E23" s="19" t="n">
        <v>0.91</v>
      </c>
    </row>
    <row r="24">
      <c r="A24" s="13" t="inlineStr">
        <is>
          <t>Dividends declared ($/share)</t>
        </is>
      </c>
      <c r="B24" s="19" t="n">
        <v>1.84</v>
      </c>
      <c r="C24" s="19" t="n">
        <v>1.94</v>
      </c>
      <c r="D24" s="19" t="n">
        <v>2.04</v>
      </c>
      <c r="E24" s="19" t="n">
        <v>0.51</v>
      </c>
    </row>
    <row r="26">
      <c r="A26" s="13" t="inlineStr">
        <is>
          <t>Operating margin</t>
        </is>
      </c>
      <c r="B26" s="62">
        <f>B10/B5</f>
        <v/>
      </c>
      <c r="C26" s="62">
        <f>C10/C5</f>
        <v/>
      </c>
      <c r="D26" s="62">
        <f>D10/D5</f>
        <v/>
      </c>
      <c r="E26" s="62">
        <f>0.31</f>
        <v/>
      </c>
    </row>
    <row r="27">
      <c r="A27" s="13" t="inlineStr">
        <is>
          <t>Net margin</t>
        </is>
      </c>
      <c r="B27" s="62">
        <f>B19/B5</f>
        <v/>
      </c>
      <c r="C27" s="62">
        <f>C19/C5</f>
        <v/>
      </c>
      <c r="D27" s="62">
        <f>D19/D5</f>
        <v/>
      </c>
      <c r="E27" s="14" t="inlineStr"/>
    </row>
    <row r="28">
      <c r="A28" s="13" t="inlineStr">
        <is>
          <t>EBITDA margin</t>
        </is>
      </c>
      <c r="B28" s="62">
        <f>B21/B5</f>
        <v/>
      </c>
      <c r="C28" s="62">
        <f>C21/C5</f>
        <v/>
      </c>
      <c r="D28" s="62">
        <f>D21/D5</f>
        <v/>
      </c>
      <c r="E28" s="14" t="inlineStr"/>
    </row>
    <row r="29">
      <c r="A29" s="13" t="inlineStr">
        <is>
          <t>Effective tax rate</t>
        </is>
      </c>
      <c r="B29" s="62">
        <f>B16/B15</f>
        <v/>
      </c>
      <c r="C29" s="62">
        <f>C16/C15</f>
        <v/>
      </c>
      <c r="D29" s="62">
        <f>D16/D15</f>
        <v/>
      </c>
      <c r="E29" s="14" t="inlineStr"/>
    </row>
    <row r="30">
      <c r="A30" s="13" t="inlineStr">
        <is>
          <t>Revenue growth YoY</t>
        </is>
      </c>
      <c r="B30" s="14" t="inlineStr"/>
      <c r="C30" s="62">
        <f>C5/B5-1</f>
        <v/>
      </c>
      <c r="D30" s="62">
        <f>D5/C5-1</f>
        <v/>
      </c>
      <c r="E30" s="14" t="inlineStr"/>
    </row>
    <row r="32">
      <c r="A32" s="21" t="inlineStr">
        <is>
          <t>FY2023 &amp; FY2024 are reported (KO Q4/FY2024 8-K). FY2024 GAAP operating income ($9.99B) was depressed by $4.16B of other operating charges, including a ~$3.1B fairlife contingent-consideration remeasurement; FY2025 GAAP operating income grew ~38% to ~$13.8B and diluted EPS rose to $3.04 (comparable EPS $3.00). Q1'26 net operating revenues ~$12.5B; operating margin shown at a comparable ~31% (GAAP). FY2025/Q1'26 expense splits are estimates that tie to reported revenue, operating income and EPS; replace with the FY2025 10-K before publishing. Sources: KO FY2024 8-K; FY2025 &amp; Q1 2026 earnings releases.</t>
        </is>
      </c>
    </row>
    <row r="33"/>
    <row r="34"/>
    <row r="35"/>
    <row r="36"/>
  </sheetData>
  <mergeCells count="3">
    <mergeCell ref="A2:F2"/>
    <mergeCell ref="A32:F36"/>
    <mergeCell ref="A1:F1"/>
  </mergeCells>
  <printOptions horizontalCentered="1"/>
  <pageMargins left="0.5" right="0.5" top="0.5" bottom="0.5" header="0.3" footer="0.3"/>
  <pageSetup orientation="landscape" paperSize="1" fitToHeight="0" fitToWidth="1"/>
  <headerFooter>
    <oddHeader>&amp;L&amp;8 &amp;K3C3F45Income Statement&amp;R&amp;8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A1:E34"/>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2" customWidth="1" min="1" max="1"/>
    <col width="13" customWidth="1" min="2" max="2"/>
    <col width="13" customWidth="1" min="3" max="3"/>
    <col width="42" customWidth="1" min="4" max="4"/>
    <col width="3" customWidth="1" min="5" max="5"/>
  </cols>
  <sheetData>
    <row r="1" ht="26" customHeight="1">
      <c r="A1" s="9" t="inlineStr">
        <is>
          <t>Balance Sheet (Condensed)</t>
        </is>
      </c>
    </row>
    <row r="2">
      <c r="A2" s="10" t="inlineStr">
        <is>
          <t>$ in billions. FY2024 reported; FY2025 est. to reported totals. Coca-Cola runs a net-DEBT balance sheet.</t>
        </is>
      </c>
    </row>
    <row r="4" ht="24" customHeight="1">
      <c r="A4" s="11" t="inlineStr">
        <is>
          <t>($B)</t>
        </is>
      </c>
      <c r="B4" s="11" t="inlineStr">
        <is>
          <t>FY2024</t>
        </is>
      </c>
      <c r="C4" s="11" t="inlineStr">
        <is>
          <t>FY2025</t>
        </is>
      </c>
      <c r="D4" s="11" t="inlineStr">
        <is>
          <t>Note</t>
        </is>
      </c>
    </row>
    <row r="5">
      <c r="A5" s="6" t="inlineStr">
        <is>
          <t>ASSETS</t>
        </is>
      </c>
    </row>
    <row r="6">
      <c r="A6" s="13" t="inlineStr">
        <is>
          <t>Cash &amp; cash equivalents</t>
        </is>
      </c>
      <c r="B6" s="12" t="n">
        <v>10.828</v>
      </c>
      <c r="C6" s="12" t="n">
        <v>10.3</v>
      </c>
      <c r="D6" s="22" t="inlineStr">
        <is>
          <t>Reported FY24; FY25 est.</t>
        </is>
      </c>
    </row>
    <row r="7">
      <c r="A7" s="13" t="inlineStr">
        <is>
          <t>Short-term investments</t>
        </is>
      </c>
      <c r="B7" s="12" t="n">
        <v>2.02</v>
      </c>
      <c r="C7" s="12" t="n">
        <v>2.5</v>
      </c>
      <c r="D7" s="22" t="inlineStr"/>
    </row>
    <row r="8">
      <c r="A8" s="13" t="inlineStr">
        <is>
          <t>Marketable securities</t>
        </is>
      </c>
      <c r="B8" s="12" t="n">
        <v>1.723</v>
      </c>
      <c r="C8" s="12" t="n">
        <v>1.8</v>
      </c>
      <c r="D8" s="22" t="inlineStr"/>
    </row>
    <row r="9">
      <c r="A9" s="13" t="inlineStr">
        <is>
          <t>Trade accounts receivable, net</t>
        </is>
      </c>
      <c r="B9" s="12" t="n">
        <v>3.569</v>
      </c>
      <c r="C9" s="12" t="n">
        <v>3.7</v>
      </c>
      <c r="D9" s="22" t="inlineStr"/>
    </row>
    <row r="10">
      <c r="A10" s="13" t="inlineStr">
        <is>
          <t>Inventories</t>
        </is>
      </c>
      <c r="B10" s="12" t="n">
        <v>4.728</v>
      </c>
      <c r="C10" s="12" t="n">
        <v>4.9</v>
      </c>
      <c r="D10" s="22" t="inlineStr"/>
    </row>
    <row r="11">
      <c r="A11" s="13" t="inlineStr">
        <is>
          <t>Other current &amp; prepaid (est.)</t>
        </is>
      </c>
      <c r="B11" s="12" t="n">
        <v>3.129</v>
      </c>
      <c r="C11" s="12" t="n">
        <v>3</v>
      </c>
      <c r="D11" s="22" t="inlineStr">
        <is>
          <t>est.</t>
        </is>
      </c>
    </row>
    <row r="12">
      <c r="A12" s="13" t="inlineStr">
        <is>
          <t>Property, plant &amp; equipment, net</t>
        </is>
      </c>
      <c r="B12" s="12" t="n">
        <v>10.303</v>
      </c>
      <c r="C12" s="12" t="n">
        <v>11</v>
      </c>
      <c r="D12" s="22" t="inlineStr"/>
    </row>
    <row r="13">
      <c r="A13" s="13" t="inlineStr">
        <is>
          <t>Equity method, intangibles, goodwill, other (est.)</t>
        </is>
      </c>
      <c r="B13" s="12" t="n">
        <v>64.249</v>
      </c>
      <c r="C13" s="12" t="n">
        <v>67.59999999999999</v>
      </c>
      <c r="D13" s="22" t="inlineStr">
        <is>
          <t>Bottler stakes, brands, goodwill (est.)</t>
        </is>
      </c>
    </row>
    <row r="14">
      <c r="A14" s="6" t="inlineStr">
        <is>
          <t>Total assets</t>
        </is>
      </c>
      <c r="B14" s="61">
        <f>SUM(B6:B13)</f>
        <v/>
      </c>
      <c r="C14" s="61">
        <f>SUM(C6:C13)</f>
        <v/>
      </c>
      <c r="D14" s="23" t="inlineStr">
        <is>
          <t>FY24 reported $100.5B; FY25 est. ~$104.8B</t>
        </is>
      </c>
    </row>
    <row r="16">
      <c r="A16" s="6" t="inlineStr">
        <is>
          <t>LIABILITIES &amp; EQUITY</t>
        </is>
      </c>
    </row>
    <row r="17">
      <c r="A17" s="13" t="inlineStr">
        <is>
          <t>Accounts payable &amp; accrued (est.)</t>
        </is>
      </c>
      <c r="B17" s="12" t="n">
        <v>21.715</v>
      </c>
      <c r="C17" s="12" t="n">
        <v>20.5</v>
      </c>
      <c r="D17" s="22" t="inlineStr">
        <is>
          <t>Incl. IRS deposit/fairlife accruals (est.)</t>
        </is>
      </c>
    </row>
    <row r="18">
      <c r="A18" s="13" t="inlineStr">
        <is>
          <t>Loans &amp; notes payable (short-term)</t>
        </is>
      </c>
      <c r="B18" s="12" t="n">
        <v>1.499</v>
      </c>
      <c r="C18" s="12" t="n">
        <v>2.5</v>
      </c>
      <c r="D18" s="22" t="inlineStr">
        <is>
          <t>Reported FY24</t>
        </is>
      </c>
    </row>
    <row r="19">
      <c r="A19" s="13" t="inlineStr">
        <is>
          <t>Current maturities of long-term debt</t>
        </is>
      </c>
      <c r="B19" s="12" t="n">
        <v>0.648</v>
      </c>
      <c r="C19" s="12" t="n">
        <v>2</v>
      </c>
      <c r="D19" s="22" t="inlineStr">
        <is>
          <t>Reported FY24</t>
        </is>
      </c>
    </row>
    <row r="20">
      <c r="A20" s="13" t="inlineStr">
        <is>
          <t>Long-term debt</t>
        </is>
      </c>
      <c r="B20" s="12" t="n">
        <v>42.375</v>
      </c>
      <c r="C20" s="12" t="n">
        <v>41</v>
      </c>
      <c r="D20" s="22" t="inlineStr">
        <is>
          <t>Reported FY24; FY25 est.</t>
        </is>
      </c>
    </row>
    <row r="21">
      <c r="A21" s="13" t="inlineStr">
        <is>
          <t>Other long-term liabilities (est.)</t>
        </is>
      </c>
      <c r="B21" s="12" t="n">
        <v>8.039999999999999</v>
      </c>
      <c r="C21" s="12" t="n">
        <v>9</v>
      </c>
      <c r="D21" s="22" t="inlineStr">
        <is>
          <t>Deferred tax, leases, benefits (est.)</t>
        </is>
      </c>
    </row>
    <row r="22">
      <c r="A22" s="6" t="inlineStr">
        <is>
          <t>Total liabilities</t>
        </is>
      </c>
      <c r="B22" s="61">
        <f>SUM(B17:B21)</f>
        <v/>
      </c>
      <c r="C22" s="61">
        <f>SUM(C17:C21)</f>
        <v/>
      </c>
      <c r="D22" s="14" t="n"/>
    </row>
    <row r="23">
      <c r="A23" s="6" t="inlineStr">
        <is>
          <t>Total equity (plug)</t>
        </is>
      </c>
      <c r="B23" s="61">
        <f>B14-B22</f>
        <v/>
      </c>
      <c r="C23" s="61">
        <f>C14-C22</f>
        <v/>
      </c>
      <c r="D23" s="23" t="inlineStr">
        <is>
          <t>Incl. noncontrolling interests (~$1.5B)</t>
        </is>
      </c>
    </row>
    <row r="25">
      <c r="A25" s="6" t="inlineStr">
        <is>
          <t>Total debt (ST + current LTD + LTD)</t>
        </is>
      </c>
      <c r="B25" s="24">
        <f>B18+B19+B20</f>
        <v/>
      </c>
      <c r="C25" s="24">
        <f>C18+C19+C20</f>
        <v/>
      </c>
      <c r="D25" s="23" t="inlineStr">
        <is>
          <t>FY24 reported ~$44.5B; FY25 est. ~$45.5B</t>
        </is>
      </c>
    </row>
    <row r="26">
      <c r="A26" s="6" t="inlineStr">
        <is>
          <t>Total cash &amp; investments</t>
        </is>
      </c>
      <c r="B26" s="61">
        <f>B6+B7+B8</f>
        <v/>
      </c>
      <c r="C26" s="61">
        <f>C6+C7+C8</f>
        <v/>
      </c>
      <c r="D26" s="23" t="inlineStr">
        <is>
          <t>Cash + ST investments + marketable securities</t>
        </is>
      </c>
    </row>
    <row r="27">
      <c r="A27" s="6" t="inlineStr">
        <is>
          <t>Net debt (total debt - cash &amp; investments)</t>
        </is>
      </c>
      <c r="B27" s="24">
        <f>B25-B26</f>
        <v/>
      </c>
      <c r="C27" s="24">
        <f>C25-C26</f>
        <v/>
      </c>
      <c r="D27" s="25" t="inlineStr">
        <is>
          <t>KO carries real net debt — relevant if the IRS case is lost</t>
        </is>
      </c>
    </row>
    <row r="28">
      <c r="A28" s="6" t="inlineStr">
        <is>
          <t>Net debt / EBITDA (leverage)</t>
        </is>
      </c>
      <c r="B28" s="26">
        <f>B27/'Income Statement'!C21</f>
        <v/>
      </c>
      <c r="C28" s="26">
        <f>C27/'Income Statement'!D21</f>
        <v/>
      </c>
      <c r="D28" s="23" t="inlineStr">
        <is>
          <t>~2x EBITDA — investment-grade, but not a net-cash fortress</t>
        </is>
      </c>
    </row>
    <row r="30">
      <c r="A30" s="21" t="inlineStr">
        <is>
          <t>FY2024 lines are reported (cash $10.83B, ST investments $2.02B, marketable securities $1.72B, long-term debt $42.38B, total assets $100.55B). FY2025 sub-lines are estimates calibrated to reported FY2025 totals (~$104.8B assets, ~$45.5B total debt, ~$13B cash &amp; investments); replace with the FY2025 10-K balance sheet before publishing. The key fact is reported and load-bearing for this case: unlike a net-cash compounder, Coca-Cola operates with ~$30B of NET DEBT and ~2x leverage. That is why a maximal IRS loss — which management has said could require borrowing — actually matters to the balance sheet.</t>
        </is>
      </c>
    </row>
    <row r="31"/>
    <row r="32"/>
    <row r="33"/>
    <row r="34"/>
  </sheetData>
  <mergeCells count="3">
    <mergeCell ref="A2:E2"/>
    <mergeCell ref="A1:E1"/>
    <mergeCell ref="A30:E34"/>
  </mergeCells>
  <printOptions horizontalCentered="1"/>
  <pageMargins left="0.5" right="0.5" top="0.5" bottom="0.5" header="0.3" footer="0.3"/>
  <pageSetup orientation="landscape" paperSize="1" fitToHeight="0" fitToWidth="1"/>
  <headerFooter>
    <oddHeader>&amp;L&amp;8 &amp;K3C3F45Balance Sheet&amp;R&amp;8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E25"/>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2" customWidth="1" min="1" max="1"/>
    <col width="13" customWidth="1" min="2" max="2"/>
    <col width="13" customWidth="1" min="3" max="3"/>
    <col width="13" customWidth="1" min="4" max="4"/>
    <col width="3" customWidth="1" min="5" max="5"/>
  </cols>
  <sheetData>
    <row r="1" ht="26" customHeight="1">
      <c r="A1" s="9" t="inlineStr">
        <is>
          <t>Cash Flow Statement (Condensed)</t>
        </is>
      </c>
    </row>
    <row r="2">
      <c r="A2" s="10" t="inlineStr">
        <is>
          <t>$ in billions. FY2023-FY2025. Two ~$6B one-time cash drains mask the underlying free-cash-flow power.</t>
        </is>
      </c>
    </row>
    <row r="4" ht="24" customHeight="1">
      <c r="A4" s="11" t="inlineStr">
        <is>
          <t>($B)</t>
        </is>
      </c>
      <c r="B4" s="11" t="inlineStr">
        <is>
          <t>FY2023</t>
        </is>
      </c>
      <c r="C4" s="11" t="inlineStr">
        <is>
          <t>FY2024</t>
        </is>
      </c>
      <c r="D4" s="11" t="inlineStr">
        <is>
          <t>FY2025</t>
        </is>
      </c>
    </row>
    <row r="5">
      <c r="A5" s="6" t="inlineStr">
        <is>
          <t>Consolidated net income</t>
        </is>
      </c>
      <c r="B5" s="12" t="n">
        <v>10.703</v>
      </c>
      <c r="C5" s="12" t="n">
        <v>10.649</v>
      </c>
      <c r="D5" s="12" t="n">
        <v>13.1</v>
      </c>
    </row>
    <row r="6">
      <c r="A6" s="16" t="inlineStr">
        <is>
          <t>D&amp;A</t>
        </is>
      </c>
      <c r="B6" s="12" t="n">
        <v>1.128</v>
      </c>
      <c r="C6" s="12" t="n">
        <v>1.075</v>
      </c>
      <c r="D6" s="12" t="n">
        <v>1.1</v>
      </c>
    </row>
    <row r="7">
      <c r="A7" s="16" t="inlineStr">
        <is>
          <t>Stock-based compensation</t>
        </is>
      </c>
      <c r="B7" s="12" t="n">
        <v>0.254</v>
      </c>
      <c r="C7" s="12" t="n">
        <v>0.286</v>
      </c>
      <c r="D7" s="12" t="n">
        <v>0.3</v>
      </c>
    </row>
    <row r="8">
      <c r="A8" s="16" t="inlineStr">
        <is>
          <t>Working capital, one-time items &amp; other</t>
        </is>
      </c>
      <c r="B8" s="12" t="n">
        <v>-0.486</v>
      </c>
      <c r="C8" s="12" t="n">
        <v>-5.205</v>
      </c>
      <c r="D8" s="12" t="n">
        <v>-7</v>
      </c>
    </row>
    <row r="9">
      <c r="A9" s="6" t="inlineStr">
        <is>
          <t>Operating cash flow</t>
        </is>
      </c>
      <c r="B9" s="61">
        <f>B5+B6+B7+B8</f>
        <v/>
      </c>
      <c r="C9" s="61">
        <f>C5+C6+C7+C8</f>
        <v/>
      </c>
      <c r="D9" s="61">
        <f>D5+D6+D7+D8</f>
        <v/>
      </c>
    </row>
    <row r="10">
      <c r="A10" s="16" t="inlineStr">
        <is>
          <t>Capital expenditures</t>
        </is>
      </c>
      <c r="B10" s="12" t="n">
        <v>-1.852</v>
      </c>
      <c r="C10" s="12" t="n">
        <v>-2.064</v>
      </c>
      <c r="D10" s="12" t="n">
        <v>-2.2</v>
      </c>
    </row>
    <row r="11">
      <c r="A11" s="6" t="inlineStr">
        <is>
          <t>Free cash flow (reported)</t>
        </is>
      </c>
      <c r="B11" s="17">
        <f>B9+B10</f>
        <v/>
      </c>
      <c r="C11" s="17">
        <f>C9+C10</f>
        <v/>
      </c>
      <c r="D11" s="17">
        <f>D9+D10</f>
        <v/>
      </c>
    </row>
    <row r="12">
      <c r="A12" s="21" t="inlineStr">
        <is>
          <t>FY24: $6.0B IRS litigation deposit. FY25: ~$6.1B fairlife contingent-consideration payment.</t>
        </is>
      </c>
      <c r="B12" s="12" t="n">
        <v>0</v>
      </c>
      <c r="C12" s="12" t="n">
        <v>6</v>
      </c>
      <c r="D12" s="12" t="n">
        <v>6.1</v>
      </c>
    </row>
    <row r="13">
      <c r="A13" s="6" t="inlineStr">
        <is>
          <t>Free cash flow ex one-time items</t>
        </is>
      </c>
      <c r="B13" s="18">
        <f>B11+B12</f>
        <v/>
      </c>
      <c r="C13" s="18">
        <f>C11+C12</f>
        <v/>
      </c>
      <c r="D13" s="18">
        <f>D11+D12</f>
        <v/>
      </c>
    </row>
    <row r="15">
      <c r="A15" s="16" t="inlineStr">
        <is>
          <t>Share repurchases (gross)</t>
        </is>
      </c>
      <c r="B15" s="12" t="n">
        <v>-2.289</v>
      </c>
      <c r="C15" s="12" t="n">
        <v>-1.795</v>
      </c>
      <c r="D15" s="12" t="n">
        <v>-2</v>
      </c>
    </row>
    <row r="16">
      <c r="A16" s="16" t="inlineStr">
        <is>
          <t>Dividends paid</t>
        </is>
      </c>
      <c r="B16" s="12" t="n">
        <v>-7.952</v>
      </c>
      <c r="C16" s="12" t="n">
        <v>-8.359</v>
      </c>
      <c r="D16" s="12" t="n">
        <v>-8.800000000000001</v>
      </c>
    </row>
    <row r="17">
      <c r="A17" s="6" t="inlineStr">
        <is>
          <t>Total capital returned</t>
        </is>
      </c>
      <c r="B17" s="61">
        <f>-(B15+B16)</f>
        <v/>
      </c>
      <c r="C17" s="61">
        <f>-(C15+C16)</f>
        <v/>
      </c>
      <c r="D17" s="61">
        <f>-(D15+D16)</f>
        <v/>
      </c>
    </row>
    <row r="18">
      <c r="A18" s="6" t="inlineStr">
        <is>
          <t>FCF margin ex one-time (FCF / revenue)</t>
        </is>
      </c>
      <c r="B18" s="27">
        <f>B13/45.754</f>
        <v/>
      </c>
      <c r="C18" s="27">
        <f>C13/47.061</f>
        <v/>
      </c>
      <c r="D18" s="27">
        <f>D13/47.9</f>
        <v/>
      </c>
    </row>
    <row r="19">
      <c r="A19" s="13" t="inlineStr">
        <is>
          <t>Dividend covered by FCF ex one-time?</t>
        </is>
      </c>
      <c r="B19" s="63">
        <f>B13/-B16</f>
        <v/>
      </c>
      <c r="C19" s="63">
        <f>C13/-C16</f>
        <v/>
      </c>
      <c r="D19" s="63">
        <f>D13/-D16</f>
        <v/>
      </c>
    </row>
    <row r="21">
      <c r="A21" s="21" t="inlineStr">
        <is>
          <t>Reported anchors: operating cash flow $11.6B (FY23) / $6.8B (FY24) / ~$7.41B (FY25); free cash flow $9.7B / $4.7B / ~$5.3B. Reported FCF looks volatile only because of two separate ~$6B one-time cash items — the FY2024 IRS litigation deposit and the FY2025 fairlife contingent-consideration payment. Strip both out and underlying free cash flow is ~$10-11B a year and comfortably covers the ~$8.8B dividend. KO itself reports 'free cash flow ex these items' of $10.8B (FY24) and ~$11.4B (FY25). FY2025 sub-lines are estimates tying to reported FCF; replace with the FY2025 10-K cash-flow statement before publishing.</t>
        </is>
      </c>
    </row>
    <row r="22"/>
    <row r="23"/>
    <row r="24"/>
    <row r="25"/>
  </sheetData>
  <mergeCells count="3">
    <mergeCell ref="A2:E2"/>
    <mergeCell ref="A1:E1"/>
    <mergeCell ref="A21:E25"/>
  </mergeCells>
  <printOptions horizontalCentered="1"/>
  <pageMargins left="0.5" right="0.5" top="0.5" bottom="0.5" header="0.3" footer="0.3"/>
  <pageSetup orientation="landscape" paperSize="1" fitToHeight="0" fitToWidth="1"/>
  <headerFooter>
    <oddHeader>&amp;L&amp;8 &amp;K3C3F45Cash Flow Statement&amp;R&amp;8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F18"/>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34" customWidth="1" min="1" max="1"/>
    <col width="12" customWidth="1" min="2" max="2"/>
    <col width="12" customWidth="1" min="3" max="3"/>
    <col width="11" customWidth="1" min="4" max="4"/>
    <col width="55" customWidth="1" min="5" max="5"/>
    <col width="3" customWidth="1" min="6" max="6"/>
  </cols>
  <sheetData>
    <row r="1" ht="26" customHeight="1">
      <c r="A1" s="9" t="inlineStr">
        <is>
          <t>Segments — FY2024 by operating segment (10-K)</t>
        </is>
      </c>
    </row>
    <row r="2">
      <c r="A2" s="10" t="inlineStr">
        <is>
          <t>$ in billions. The six operating segments Coca-Cola discloses, plus Corporate. FY2024 reported.</t>
        </is>
      </c>
    </row>
    <row r="4" ht="24" customHeight="1">
      <c r="A4" s="11" t="inlineStr">
        <is>
          <t>Operating segment</t>
        </is>
      </c>
      <c r="B4" s="11" t="inlineStr">
        <is>
          <t>Net rev</t>
        </is>
      </c>
      <c r="C4" s="11" t="inlineStr">
        <is>
          <t>Op income</t>
        </is>
      </c>
      <c r="D4" s="11" t="inlineStr">
        <is>
          <t>Op margin</t>
        </is>
      </c>
      <c r="E4" s="11" t="inlineStr">
        <is>
          <t>Note</t>
        </is>
      </c>
    </row>
    <row r="5">
      <c r="A5" s="6" t="inlineStr">
        <is>
          <t>North America</t>
        </is>
      </c>
      <c r="B5" s="12" t="n">
        <v>18.649</v>
      </c>
      <c r="C5" s="12" t="n">
        <v>4.336</v>
      </c>
      <c r="D5" s="62">
        <f>C5/B5</f>
        <v/>
      </c>
      <c r="E5" s="29" t="inlineStr">
        <is>
          <t>Largest revenue base; sparkling + still + dairy/juice</t>
        </is>
      </c>
    </row>
    <row r="6">
      <c r="A6" s="6" t="inlineStr">
        <is>
          <t>Europe, Middle East &amp; Africa</t>
        </is>
      </c>
      <c r="B6" s="12" t="n">
        <v>8.122</v>
      </c>
      <c r="C6" s="12" t="n">
        <v>4.125</v>
      </c>
      <c r="D6" s="62">
        <f>C6/B6</f>
        <v/>
      </c>
      <c r="E6" s="29" t="inlineStr">
        <is>
          <t>Highest-margin segment; concentrate-led model</t>
        </is>
      </c>
    </row>
    <row r="7">
      <c r="A7" s="6" t="inlineStr">
        <is>
          <t>Latin America</t>
        </is>
      </c>
      <c r="B7" s="12" t="n">
        <v>6.459</v>
      </c>
      <c r="C7" s="12" t="n">
        <v>3.78</v>
      </c>
      <c r="D7" s="62">
        <f>C7/B7</f>
        <v/>
      </c>
      <c r="E7" s="29" t="inlineStr">
        <is>
          <t>Highest operating margin (~59%); strong pricing</t>
        </is>
      </c>
    </row>
    <row r="8">
      <c r="A8" s="6" t="inlineStr">
        <is>
          <t>Asia Pacific</t>
        </is>
      </c>
      <c r="B8" s="12" t="n">
        <v>5.546</v>
      </c>
      <c r="C8" s="12" t="n">
        <v>2.148</v>
      </c>
      <c r="D8" s="62">
        <f>C8/B8</f>
        <v/>
      </c>
      <c r="E8" s="29" t="inlineStr">
        <is>
          <t>Concentrate-led; growth markets</t>
        </is>
      </c>
    </row>
    <row r="9">
      <c r="A9" s="6" t="inlineStr">
        <is>
          <t>Bottling Investments</t>
        </is>
      </c>
      <c r="B9" s="12" t="n">
        <v>6.223</v>
      </c>
      <c r="C9" s="12" t="n">
        <v>0.496</v>
      </c>
      <c r="D9" s="62">
        <f>C9/B9</f>
        <v/>
      </c>
      <c r="E9" s="29" t="inlineStr">
        <is>
          <t>Company-owned bottlers — low margin by design</t>
        </is>
      </c>
    </row>
    <row r="10">
      <c r="A10" s="6" t="inlineStr">
        <is>
          <t>Global Ventures</t>
        </is>
      </c>
      <c r="B10" s="12" t="n">
        <v>3.129</v>
      </c>
      <c r="C10" s="12" t="n">
        <v>0.359</v>
      </c>
      <c r="D10" s="62">
        <f>C10/B10</f>
        <v/>
      </c>
      <c r="E10" s="29" t="inlineStr">
        <is>
          <t>Costa Coffee, innocent, fairlife distribution, etc.</t>
        </is>
      </c>
    </row>
    <row r="11">
      <c r="A11" s="6" t="inlineStr">
        <is>
          <t>Corporate</t>
        </is>
      </c>
      <c r="B11" s="12" t="n">
        <v>0.097</v>
      </c>
      <c r="C11" s="12" t="n">
        <v>-5.252</v>
      </c>
      <c r="D11" s="62">
        <f>C11/B11</f>
        <v/>
      </c>
      <c r="E11" s="29" t="inlineStr">
        <is>
          <t>Unallocated costs, charges &amp; eliminations</t>
        </is>
      </c>
    </row>
    <row r="12">
      <c r="A12" s="6" t="inlineStr">
        <is>
          <t>Eliminations</t>
        </is>
      </c>
      <c r="B12" s="12" t="n">
        <v>-1.164</v>
      </c>
      <c r="C12" s="12" t="n">
        <v>0</v>
      </c>
      <c r="D12" s="14" t="n"/>
      <c r="E12" s="29" t="inlineStr">
        <is>
          <t>Intersegment</t>
        </is>
      </c>
    </row>
    <row r="13">
      <c r="A13" s="6" t="inlineStr">
        <is>
          <t>Consolidated</t>
        </is>
      </c>
      <c r="B13" s="61">
        <f>SUM(B5:B12)</f>
        <v/>
      </c>
      <c r="C13" s="61">
        <f>SUM(C5:C12)</f>
        <v/>
      </c>
      <c r="D13" s="62">
        <f>C13/B13</f>
        <v/>
      </c>
      <c r="E13" s="31" t="inlineStr">
        <is>
          <t>Reported FY2024: revenue $47.06B, operating income $9.99B</t>
        </is>
      </c>
    </row>
    <row r="15">
      <c r="A15" s="21" t="inlineStr">
        <is>
          <t>Reported FY2024 segment table (KO Q4/FY2024 8-K). The structure is the heart of Coca-Cola's economics — and of the IRS dispute: the highly profitable, concentrate-led international segments (EMEA, Latin America, Asia Pacific) earn most of the company's operating income, which is exactly the cross-border profit allocation the IRS is challenging. Corporate operating income is negative because it absorbs unallocated charges (e.g., the FY2024 fairlife remeasurement). FY2025 segment splits to be re-tied to the FY2025 10-K before publishing.</t>
        </is>
      </c>
    </row>
    <row r="16"/>
    <row r="17"/>
    <row r="18"/>
  </sheetData>
  <mergeCells count="3">
    <mergeCell ref="A2:F2"/>
    <mergeCell ref="A1:F1"/>
    <mergeCell ref="A15:F18"/>
  </mergeCells>
  <printOptions horizontalCentered="1"/>
  <pageMargins left="0.5" right="0.5" top="0.5" bottom="0.5" header="0.3" footer="0.3"/>
  <pageSetup orientation="landscape" paperSize="1" fitToHeight="0" fitToWidth="1"/>
  <headerFooter>
    <oddHeader>&amp;L&amp;8 &amp;K3C3F45Segments&amp;R&amp;8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A1:G16"/>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22" customWidth="1" min="1" max="1"/>
    <col width="15" customWidth="1" min="2" max="2"/>
    <col width="11" customWidth="1" min="3" max="3"/>
    <col width="12" customWidth="1" min="4" max="4"/>
    <col width="10" customWidth="1" min="5" max="5"/>
    <col width="14" customWidth="1" min="6" max="6"/>
    <col width="34" customWidth="1" min="7" max="7"/>
  </cols>
  <sheetData>
    <row r="1" ht="26" customHeight="1">
      <c r="A1" s="9" t="inlineStr">
        <is>
          <t>Valuation vs Consumer-Staples Peers</t>
        </is>
      </c>
    </row>
    <row r="2">
      <c r="A2" s="10" t="inlineStr">
        <is>
          <t>Approx. June 2026 market data. P/E, EV/EBITDA and dividend yield — how KO's multiple compares.</t>
        </is>
      </c>
    </row>
    <row r="4" ht="24" customHeight="1">
      <c r="A4" s="11" t="inlineStr">
        <is>
          <t>Company</t>
        </is>
      </c>
      <c r="B4" s="11" t="inlineStr">
        <is>
          <t>Market cap ($B)</t>
        </is>
      </c>
      <c r="C4" s="11" t="inlineStr">
        <is>
          <t>Trailing P/E</t>
        </is>
      </c>
      <c r="D4" s="11" t="inlineStr">
        <is>
          <t>EV / EBITDA</t>
        </is>
      </c>
      <c r="E4" s="11" t="inlineStr">
        <is>
          <t>Div yield</t>
        </is>
      </c>
      <c r="F4" s="11" t="inlineStr">
        <is>
          <t>Rev growth</t>
        </is>
      </c>
      <c r="G4" s="11" t="inlineStr">
        <is>
          <t>Note</t>
        </is>
      </c>
    </row>
    <row r="5">
      <c r="A5" s="32" t="inlineStr">
        <is>
          <t>Coca-Cola (KO)</t>
        </is>
      </c>
      <c r="B5" s="33" t="n">
        <v>341.6</v>
      </c>
      <c r="C5" s="34" t="n">
        <v>26</v>
      </c>
      <c r="D5" s="34" t="n">
        <v>20</v>
      </c>
      <c r="E5" s="35" t="inlineStr">
        <is>
          <t>~2.9%</t>
        </is>
      </c>
      <c r="F5" s="35" t="inlineStr">
        <is>
          <t>~+5% organic</t>
        </is>
      </c>
      <c r="G5" s="36" t="inlineStr">
        <is>
          <t>Global concentrate model; 64-yr dividend</t>
        </is>
      </c>
    </row>
    <row r="6">
      <c r="A6" s="13" t="inlineStr">
        <is>
          <t>PepsiCo (PEP)</t>
        </is>
      </c>
      <c r="B6" s="37" t="n">
        <v>195</v>
      </c>
      <c r="C6" s="38" t="n">
        <v>22</v>
      </c>
      <c r="D6" s="38" t="n">
        <v>15</v>
      </c>
      <c r="E6" s="39" t="inlineStr">
        <is>
          <t>~3.6%</t>
        </is>
      </c>
      <c r="F6" s="39" t="inlineStr">
        <is>
          <t>low single</t>
        </is>
      </c>
      <c r="G6" s="29" t="inlineStr">
        <is>
          <t>Snacks + beverages; more capital-intensive</t>
        </is>
      </c>
    </row>
    <row r="7">
      <c r="A7" s="13" t="inlineStr">
        <is>
          <t>Mondelez (MDLZ)</t>
        </is>
      </c>
      <c r="B7" s="37" t="n">
        <v>88</v>
      </c>
      <c r="C7" s="38" t="n">
        <v>21</v>
      </c>
      <c r="D7" s="38" t="n">
        <v>15</v>
      </c>
      <c r="E7" s="39" t="inlineStr">
        <is>
          <t>~2.7%</t>
        </is>
      </c>
      <c r="F7" s="39" t="inlineStr">
        <is>
          <t>mid single</t>
        </is>
      </c>
      <c r="G7" s="29" t="inlineStr">
        <is>
          <t>Global snacking</t>
        </is>
      </c>
    </row>
    <row r="8">
      <c r="A8" s="13" t="inlineStr">
        <is>
          <t>Keurig Dr Pepper (KDP)</t>
        </is>
      </c>
      <c r="B8" s="37" t="n">
        <v>46</v>
      </c>
      <c r="C8" s="38" t="n">
        <v>16</v>
      </c>
      <c r="D8" s="38" t="n">
        <v>13</v>
      </c>
      <c r="E8" s="39" t="inlineStr">
        <is>
          <t>~2.8%</t>
        </is>
      </c>
      <c r="F8" s="39" t="inlineStr">
        <is>
          <t>mid single</t>
        </is>
      </c>
      <c r="G8" s="29" t="inlineStr">
        <is>
          <t>NA-centric; coffee + CSD</t>
        </is>
      </c>
    </row>
    <row r="9">
      <c r="A9" s="13" t="inlineStr">
        <is>
          <t>Procter &amp; Gamble (PG)</t>
        </is>
      </c>
      <c r="B9" s="37" t="n">
        <v>375</v>
      </c>
      <c r="C9" s="38" t="n">
        <v>24</v>
      </c>
      <c r="D9" s="38" t="n">
        <v>17</v>
      </c>
      <c r="E9" s="39" t="inlineStr">
        <is>
          <t>~2.5%</t>
        </is>
      </c>
      <c r="F9" s="39" t="inlineStr">
        <is>
          <t>low single</t>
        </is>
      </c>
      <c r="G9" s="29" t="inlineStr">
        <is>
          <t>HPC staple; quality comp</t>
        </is>
      </c>
    </row>
    <row r="11">
      <c r="A11" s="6" t="inlineStr">
        <is>
          <t>Peer average (ex-KO)</t>
        </is>
      </c>
      <c r="C11" s="40">
        <f>AVERAGE(C6:C9)</f>
        <v/>
      </c>
      <c r="D11" s="40">
        <f>AVERAGE(D6:D9)</f>
        <v/>
      </c>
      <c r="G11" s="41" t="inlineStr">
        <is>
          <t>KO trades at a premium to staples peers</t>
        </is>
      </c>
    </row>
    <row r="13">
      <c r="A13" s="21" t="inlineStr">
        <is>
          <t>The read: at ~26x trailing earnings and ~20x EV/EBITDA, Coca-Cola trades at a clear premium to its consumer-staples peers — the market pays up for the brand, the capital-light concentrate model, the ~60% international operating margins, and a 64-year dividend-increase record. That premium is the bull case and the bear case at once: it prices in durability, so a left-tail event that the market is *not* pricing — such as a maximal IRS transfer-pricing loss that permanently raises the tax rate ~3.5 points — is exactly the kind of risk that could compress the multiple. Approx. June 2026 figures; verify against live quotes before publishing.</t>
        </is>
      </c>
    </row>
    <row r="14"/>
    <row r="15"/>
    <row r="16"/>
  </sheetData>
  <mergeCells count="3">
    <mergeCell ref="A13:G16"/>
    <mergeCell ref="A2:G2"/>
    <mergeCell ref="A1:G1"/>
  </mergeCells>
  <printOptions horizontalCentered="1"/>
  <pageMargins left="0.5" right="0.5" top="0.5" bottom="0.5" header="0.3" footer="0.3"/>
  <pageSetup orientation="landscape" paperSize="1" fitToHeight="0" fitToWidth="1"/>
  <headerFooter>
    <oddHeader>&amp;L&amp;8 &amp;K3C3F45Valuation vs Staples&amp;R&amp;8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D26"/>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4" customWidth="1" min="1" max="1"/>
    <col width="14" customWidth="1" min="2" max="2"/>
    <col width="56" customWidth="1" min="3" max="3"/>
    <col width="3" customWidth="1" min="4" max="4"/>
  </cols>
  <sheetData>
    <row r="1" ht="26" customHeight="1">
      <c r="A1" s="9" t="inlineStr">
        <is>
          <t>Returns on Capital &amp; Capital Quality</t>
        </is>
      </c>
    </row>
    <row r="2">
      <c r="A2" s="10" t="inlineStr">
        <is>
          <t>$ in billions. Why Berkshire has held for 30+ years — the Berkshire read.</t>
        </is>
      </c>
    </row>
    <row r="5">
      <c r="A5" s="13" t="inlineStr">
        <is>
          <t>FY2025 operating income (est.)</t>
        </is>
      </c>
      <c r="B5" s="12" t="n">
        <v>13.8</v>
      </c>
    </row>
    <row r="6">
      <c r="A6" s="13" t="inlineStr">
        <is>
          <t>Assumed cash tax rate</t>
        </is>
      </c>
      <c r="B6" s="42" t="n">
        <v>0.19</v>
      </c>
    </row>
    <row r="7">
      <c r="A7" s="6" t="inlineStr">
        <is>
          <t>NOPAT (op income x (1 - tax))</t>
        </is>
      </c>
      <c r="B7" s="61">
        <f>B5*(1-B6)</f>
        <v/>
      </c>
    </row>
    <row r="8">
      <c r="A8" s="13" t="inlineStr">
        <is>
          <t>Total equity (FY2025, est.)</t>
        </is>
      </c>
      <c r="B8" s="43" t="n">
        <v>27.5</v>
      </c>
    </row>
    <row r="9">
      <c r="A9" s="13" t="inlineStr">
        <is>
          <t>Total debt (FY2025, est.)</t>
        </is>
      </c>
      <c r="B9" s="12" t="n">
        <v>45.5</v>
      </c>
    </row>
    <row r="10">
      <c r="A10" s="13" t="inlineStr">
        <is>
          <t>Cash &amp; investments (FY2025, est.)</t>
        </is>
      </c>
      <c r="B10" s="12" t="n">
        <v>13</v>
      </c>
    </row>
    <row r="11">
      <c r="A11" s="6" t="inlineStr">
        <is>
          <t>Invested capital (equity + debt - cash)</t>
        </is>
      </c>
      <c r="B11" s="61">
        <f>B8+B9-B10</f>
        <v/>
      </c>
    </row>
    <row r="12">
      <c r="A12" s="6" t="inlineStr">
        <is>
          <t>ROIC (NOPAT / invested capital)</t>
        </is>
      </c>
      <c r="B12" s="27">
        <f>B7/B11</f>
        <v/>
      </c>
      <c r="C12" s="44" t="inlineStr">
        <is>
          <t>Capital-light concentrate model earns high returns</t>
        </is>
      </c>
    </row>
    <row r="13">
      <c r="A13" s="13" t="inlineStr">
        <is>
          <t>FY2025 net income</t>
        </is>
      </c>
      <c r="B13" s="12" t="n">
        <v>13.1</v>
      </c>
    </row>
    <row r="14">
      <c r="A14" s="6" t="inlineStr">
        <is>
          <t>ROE (net income / equity)</t>
        </is>
      </c>
      <c r="B14" s="27">
        <f>B13/B8</f>
        <v/>
      </c>
      <c r="C14" s="44" t="inlineStr">
        <is>
          <t>Elevated by a relatively thin equity base</t>
        </is>
      </c>
    </row>
    <row r="15">
      <c r="A15" s="13" t="inlineStr">
        <is>
          <t>FY2025 free cash flow ex one-time</t>
        </is>
      </c>
      <c r="B15" s="12" t="n">
        <v>11.4</v>
      </c>
    </row>
    <row r="16">
      <c r="A16" s="6" t="inlineStr">
        <is>
          <t>FCF margin (FCF / revenue $47.9B)</t>
        </is>
      </c>
      <c r="B16" s="62">
        <f>B15/47.9</f>
        <v/>
      </c>
    </row>
    <row r="17">
      <c r="A17" s="13" t="inlineStr">
        <is>
          <t>Dividends paid (FY2025)</t>
        </is>
      </c>
      <c r="B17" s="12" t="n">
        <v>8.800000000000001</v>
      </c>
    </row>
    <row r="18">
      <c r="A18" s="6" t="inlineStr">
        <is>
          <t>Dividend / FCF ex one-time</t>
        </is>
      </c>
      <c r="B18" s="45">
        <f>B17/B15</f>
        <v/>
      </c>
      <c r="C18" s="44" t="inlineStr">
        <is>
          <t>Comfortably covered once one-time items are removed</t>
        </is>
      </c>
    </row>
    <row r="19">
      <c r="A19" s="13" t="inlineStr">
        <is>
          <t>Consecutive years of dividend increases</t>
        </is>
      </c>
      <c r="B19" s="46" t="n">
        <v>64</v>
      </c>
      <c r="C19" s="44" t="inlineStr">
        <is>
          <t>One of the longest records in the S&amp;P 500</t>
        </is>
      </c>
    </row>
    <row r="21">
      <c r="A21" s="6" t="inlineStr">
        <is>
          <t>The read</t>
        </is>
      </c>
    </row>
    <row r="22">
      <c r="A22" s="21" t="inlineStr">
        <is>
          <t>Coca-Cola is not a fast grower; it is a durability machine. A capital-light, concentrate-led model produces high returns on invested capital, ~24% free-cash-flow margins (ex one-time items), and a 64-year streak of dividend increases. That is precisely the profile Berkshire has prized for three decades: a wide-moat brand that converts modest top-line growth into reliable, rising cash returns. The risk this case isolates is not the business model — it is a tax dispute that could permanently raise the rate at which those profits are taxed. ROIC/ROE use estimated FY2025 equity, tax and operating-income figures; replace with exact 10-K figures before publishing.</t>
        </is>
      </c>
    </row>
    <row r="23"/>
    <row r="24"/>
    <row r="25"/>
    <row r="26"/>
  </sheetData>
  <mergeCells count="3">
    <mergeCell ref="A1:D1"/>
    <mergeCell ref="A22:D26"/>
    <mergeCell ref="A2:D2"/>
  </mergeCells>
  <printOptions horizontalCentered="1"/>
  <pageMargins left="0.5" right="0.5" top="0.5" bottom="0.5" header="0.3" footer="0.3"/>
  <pageSetup orientation="landscape" paperSize="1" fitToHeight="0" fitToWidth="1"/>
  <headerFooter>
    <oddHeader>&amp;L&amp;8 &amp;K3C3F45Returns &amp; Capital Quality&amp;R&amp;8 &amp;KC89000BARATELLI INSTITUTE  *  MENTORING AT SCALE</oddHeader>
    <oddFooter>&amp;L&amp;8 &amp;K3C3F45baratelliinstitute.com&amp;C&amp;8 &amp;K3C3F45Page &amp;P of &amp;N&amp;R&amp;8 &amp;K3C3F45Coca-Cola BR</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A1:C30"/>
  <sheetViews>
    <sheetView showGridLines="0"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0" customWidth="1" min="1" max="1"/>
    <col width="14" customWidth="1" min="2" max="2"/>
    <col width="62" customWidth="1" min="3" max="3"/>
  </cols>
  <sheetData>
    <row r="1" ht="26" customHeight="1">
      <c r="A1" s="9" t="inlineStr">
        <is>
          <t>Berkshire's Coca-Cola stake — the textbook hold</t>
        </is>
      </c>
    </row>
    <row r="2">
      <c r="A2" s="10" t="inlineStr">
        <is>
          <t>$ in billions unless noted. 400M shares bought 1988-1994, never sold. Includes yield-on-cost and look-through earnings.</t>
        </is>
      </c>
    </row>
    <row r="5">
      <c r="A5" s="6" t="inlineStr">
        <is>
          <t>THE POSITION</t>
        </is>
      </c>
    </row>
    <row r="6">
      <c r="A6" s="13" t="inlineStr">
        <is>
          <t>Shares held (millions)</t>
        </is>
      </c>
      <c r="B6" s="47" t="n">
        <v>400</v>
      </c>
      <c r="C6" s="44" t="inlineStr">
        <is>
          <t>Accumulated 1988-1994; unchanged since</t>
        </is>
      </c>
    </row>
    <row r="7">
      <c r="A7" s="13" t="inlineStr">
        <is>
          <t>Total cost basis</t>
        </is>
      </c>
      <c r="B7" s="12" t="n">
        <v>1.299</v>
      </c>
      <c r="C7" s="44" t="inlineStr">
        <is>
          <t>~$3.25/share — bought over 1988-1994</t>
        </is>
      </c>
    </row>
    <row r="8">
      <c r="A8" s="13" t="inlineStr">
        <is>
          <t>Share price (approx. June 2026, $)</t>
        </is>
      </c>
      <c r="B8" s="48" t="n">
        <v>79.40000000000001</v>
      </c>
      <c r="C8" s="44" t="inlineStr">
        <is>
          <t>~$341.6B market cap / ~4.30B shares</t>
        </is>
      </c>
    </row>
    <row r="9">
      <c r="A9" s="6" t="inlineStr">
        <is>
          <t>Market value</t>
        </is>
      </c>
      <c r="B9" s="17">
        <f>B6*B8/1000</f>
        <v/>
      </c>
      <c r="C9" s="44" t="inlineStr">
        <is>
          <t>~$31.8B — Berkshire's #3 equity holding</t>
        </is>
      </c>
    </row>
    <row r="10">
      <c r="A10" s="6" t="inlineStr">
        <is>
          <t>Unrealized gain</t>
        </is>
      </c>
      <c r="B10" s="17">
        <f>B9-B7</f>
        <v/>
      </c>
      <c r="C10" s="44" t="inlineStr">
        <is>
          <t>~24x the original cost</t>
        </is>
      </c>
    </row>
    <row r="12">
      <c r="A12" s="6" t="inlineStr">
        <is>
          <t>THE INCOME (why he never sells)</t>
        </is>
      </c>
    </row>
    <row r="13">
      <c r="A13" s="13" t="inlineStr">
        <is>
          <t>Dividend per share (FY2026, $)</t>
        </is>
      </c>
      <c r="B13" s="19" t="n">
        <v>2.12</v>
      </c>
      <c r="C13" s="44" t="inlineStr">
        <is>
          <t>64th consecutive annual increase (raised Feb 2026 from $2.04)</t>
        </is>
      </c>
    </row>
    <row r="14">
      <c r="A14" s="6" t="inlineStr">
        <is>
          <t>Annual dividends received</t>
        </is>
      </c>
      <c r="B14" s="17">
        <f>B6*B13/1000</f>
        <v/>
      </c>
      <c r="C14" s="44" t="inlineStr">
        <is>
          <t>Cash to Berkshire every year, rising</t>
        </is>
      </c>
    </row>
    <row r="15">
      <c r="A15" s="6" t="inlineStr">
        <is>
          <t>Yield on cost</t>
        </is>
      </c>
      <c r="B15" s="45">
        <f>(B6*B13/1000)/B7</f>
        <v/>
      </c>
      <c r="C15" s="44" t="inlineStr">
        <is>
          <t>Annual dividend alone ~63% of original cost</t>
        </is>
      </c>
    </row>
    <row r="16">
      <c r="A16" s="6" t="inlineStr">
        <is>
          <t>Current dividend yield</t>
        </is>
      </c>
      <c r="B16" s="62">
        <f>B13/B8</f>
        <v/>
      </c>
      <c r="C16" s="44" t="inlineStr">
        <is>
          <t>On today's price</t>
        </is>
      </c>
    </row>
    <row r="18">
      <c r="A18" s="6" t="inlineStr">
        <is>
          <t>LOOK-THROUGH EARNINGS</t>
        </is>
      </c>
    </row>
    <row r="19">
      <c r="A19" s="13" t="inlineStr">
        <is>
          <t>KO FY2025 net income</t>
        </is>
      </c>
      <c r="B19" s="12" t="n">
        <v>13.1</v>
      </c>
      <c r="C19" s="44" t="inlineStr">
        <is>
          <t>Reported FY2025</t>
        </is>
      </c>
    </row>
    <row r="20">
      <c r="A20" s="13" t="inlineStr">
        <is>
          <t>KO shares outstanding (B)</t>
        </is>
      </c>
      <c r="B20" s="49" t="n">
        <v>4.3</v>
      </c>
      <c r="C20" s="44" t="inlineStr">
        <is>
          <t>Diluted</t>
        </is>
      </c>
    </row>
    <row r="21">
      <c r="A21" s="6" t="inlineStr">
        <is>
          <t>Berkshire ownership %</t>
        </is>
      </c>
      <c r="B21" s="62">
        <f>B6/1000/B20</f>
        <v/>
      </c>
      <c r="C21" s="44" t="inlineStr">
        <is>
          <t>400M of ~4.30B shares</t>
        </is>
      </c>
    </row>
    <row r="22">
      <c r="A22" s="6" t="inlineStr">
        <is>
          <t>Look-through earnings</t>
        </is>
      </c>
      <c r="B22" s="17">
        <f>B21*B19</f>
        <v/>
      </c>
      <c r="C22" s="44" t="inlineStr">
        <is>
          <t>Ownership % x KO net income (Buffett's lens)</t>
        </is>
      </c>
    </row>
    <row r="23">
      <c r="A23" s="6" t="inlineStr">
        <is>
          <t>Of which paid out as dividends</t>
        </is>
      </c>
      <c r="B23" s="61">
        <f>B6*B13/1000</f>
        <v/>
      </c>
      <c r="C23" s="44" t="inlineStr">
        <is>
          <t>The rest is retained &amp; reinvested by KO on BRK's behalf</t>
        </is>
      </c>
    </row>
    <row r="25">
      <c r="A25" s="21" t="inlineStr">
        <is>
          <t>The Coca-Cola position is the cleanest illustration of Buffett's philosophy in the entire portfolio: ~$1.3B invested over 1988-1994, never added to and never sold, now worth ~$31.8B and paying ~$848M in cash dividends every year (at the 2026 rate of $2.12/share) — a yield on cost of roughly 65%. Berkshire owns ~9.3% of Coca-Cola, so its look-through share of FY2025 profit is ~$1.2B, of which ~$0.8B comes back as dividends and the rest is retained and reinvested by the company. This is what 'our favorite holding period is forever' looks like on a spreadsheet — and it is why the IRS case matters to Berkshire indirectly: a permanently higher KO tax rate lowers both the look-through earnings and the company's capacity to keep raising that dividend.</t>
        </is>
      </c>
    </row>
    <row r="26"/>
    <row r="27"/>
    <row r="28"/>
    <row r="29"/>
    <row r="30"/>
  </sheetData>
  <mergeCells count="3">
    <mergeCell ref="A1:C1"/>
    <mergeCell ref="A25:C30"/>
    <mergeCell ref="A2:C2"/>
  </mergeCells>
  <printOptions horizontalCentered="1"/>
  <pageMargins left="0.5" right="0.5" top="0.5" bottom="0.5" header="0.3" footer="0.3"/>
  <pageSetup orientation="landscape" paperSize="1" fitToHeight="0" fitToWidth="1"/>
  <headerFooter>
    <oddHeader>&amp;L&amp;8 &amp;K3C3F45Position vs BRK&amp;R&amp;8 &amp;KC89000BARATELLI INSTITUTE  *  MENTORING AT SCALE</oddHeader>
    <oddFooter>&amp;L&amp;8 &amp;K3C3F45baratelliinstitute.com&amp;C&amp;8 &amp;K3C3F45Page &amp;P of &amp;N&amp;R&amp;8 &amp;K3C3F45Coca-Cola BR</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2026-06-22T22:28:07Z</dcterms:created>
  <dcterms:modified xmlns:dcterms="http://purl.org/dc/terms/" xmlns:xsi="http://www.w3.org/2001/XMLSchema-instance" xsi:type="dcterms:W3CDTF">2026-07-08T20:43:07Z</dcterms:modified>
</cp:coreProperties>
</file>