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00_Baratelli_Toolkit" sheetId="1" state="visible" r:id="rId1"/>
    <sheet xmlns:r="http://schemas.openxmlformats.org/officeDocument/2006/relationships" name="Cover" sheetId="2" state="visible" r:id="rId2"/>
    <sheet xmlns:r="http://schemas.openxmlformats.org/officeDocument/2006/relationships" name="Income Statement" sheetId="3" state="visible" r:id="rId3"/>
    <sheet xmlns:r="http://schemas.openxmlformats.org/officeDocument/2006/relationships" name="Balance Sheet" sheetId="4" state="visible" r:id="rId4"/>
    <sheet xmlns:r="http://schemas.openxmlformats.org/officeDocument/2006/relationships" name="Cash Flow Statement" sheetId="5" state="visible" r:id="rId5"/>
    <sheet xmlns:r="http://schemas.openxmlformats.org/officeDocument/2006/relationships" name="Segments" sheetId="6" state="visible" r:id="rId6"/>
    <sheet xmlns:r="http://schemas.openxmlformats.org/officeDocument/2006/relationships" name="Valuation vs Big Tech" sheetId="7" state="visible" r:id="rId7"/>
    <sheet xmlns:r="http://schemas.openxmlformats.org/officeDocument/2006/relationships" name="Returns &amp; Capital Quality" sheetId="8" state="visible" r:id="rId8"/>
    <sheet xmlns:r="http://schemas.openxmlformats.org/officeDocument/2006/relationships" name="Venture Stakes" sheetId="9" state="visible" r:id="rId9"/>
    <sheet xmlns:r="http://schemas.openxmlformats.org/officeDocument/2006/relationships" name="Position vs BRK" sheetId="10" state="visible" r:id="rId10"/>
  </sheets>
  <definedNames>
    <definedName name="_xlnm.Print_Titles" localSheetId="1">'Cover'!$1:$3</definedName>
    <definedName name="_xlnm.Print_Area" localSheetId="1">'Cover'!$A$1:$F$18</definedName>
    <definedName name="_xlnm.Print_Titles" localSheetId="2">'Income Statement'!$1:$3</definedName>
    <definedName name="_xlnm.Print_Area" localSheetId="2">'Income Statement'!$A$1:$F$29</definedName>
    <definedName name="_xlnm.Print_Titles" localSheetId="3">'Balance Sheet'!$1:$3</definedName>
    <definedName name="_xlnm.Print_Area" localSheetId="3">'Balance Sheet'!$A$1:$E$29</definedName>
    <definedName name="_xlnm.Print_Titles" localSheetId="4">'Cash Flow Statement'!$1:$3</definedName>
    <definedName name="_xlnm.Print_Area" localSheetId="4">'Cash Flow Statement'!$A$1:$E$22</definedName>
    <definedName name="_xlnm.Print_Titles" localSheetId="5">'Segments'!$1:$3</definedName>
    <definedName name="_xlnm.Print_Area" localSheetId="5">'Segments'!$A$1:$E$15</definedName>
    <definedName name="_xlnm.Print_Titles" localSheetId="6">'Valuation vs Big Tech'!$1:$3</definedName>
    <definedName name="_xlnm.Print_Area" localSheetId="6">'Valuation vs Big Tech'!$A$1:$F$17</definedName>
    <definedName name="_xlnm.Print_Titles" localSheetId="7">'Returns &amp; Capital Quality'!$1:$3</definedName>
    <definedName name="_xlnm.Print_Area" localSheetId="7">'Returns &amp; Capital Quality'!$A$1:$D$24</definedName>
    <definedName name="_xlnm.Print_Titles" localSheetId="8">'Venture Stakes'!$1:$3</definedName>
    <definedName name="_xlnm.Print_Area" localSheetId="8">'Venture Stakes'!$A$1:$E$18</definedName>
    <definedName name="_xlnm.Print_Titles" localSheetId="9">'Position vs BRK'!$1:$3</definedName>
    <definedName name="_xlnm.Print_Area" localSheetId="9">'Position vs BRK'!$A$1:$C$40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5">
    <numFmt numFmtId="164" formatCode="\$#,##0.0;&quot;($&quot;#,##0.0\);\-"/>
    <numFmt numFmtId="165" formatCode="0.0%"/>
    <numFmt numFmtId="166" formatCode="0.0\x"/>
    <numFmt numFmtId="167" formatCode="\$#,##0.00\T"/>
    <numFmt numFmtId="168" formatCode="#,##0.0"/>
  </numFmts>
  <fonts count="4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color rgb="FF0D2747"/>
      <sz val="20"/>
    </font>
    <font>
      <name val="Arial"/>
      <charset val="1"/>
      <family val="0"/>
      <i val="1"/>
      <color rgb="FF8A6D00"/>
      <sz val="11"/>
    </font>
    <font>
      <name val="Arial"/>
      <charset val="1"/>
      <family val="0"/>
      <b val="1"/>
      <color rgb="FF0D2747"/>
      <sz val="11"/>
    </font>
    <font>
      <name val="Arial"/>
      <charset val="1"/>
      <family val="0"/>
      <b val="1"/>
      <color rgb="FF0D2747"/>
      <sz val="10"/>
    </font>
    <font>
      <name val="Arial"/>
      <charset val="1"/>
      <family val="0"/>
      <color rgb="FF333333"/>
      <sz val="9.5"/>
    </font>
    <font>
      <name val="Arial"/>
      <charset val="1"/>
      <family val="0"/>
      <i val="1"/>
      <color rgb="FF5A6473"/>
      <sz val="8.5"/>
    </font>
    <font>
      <name val="Arial"/>
      <charset val="1"/>
      <family val="0"/>
      <b val="1"/>
      <color rgb="FFFFFFFF"/>
      <sz val="14"/>
    </font>
    <font>
      <name val="Arial"/>
      <charset val="1"/>
      <family val="0"/>
      <i val="1"/>
      <color rgb="FF5A6473"/>
      <sz val="9"/>
    </font>
    <font>
      <name val="Arial"/>
      <charset val="1"/>
      <family val="0"/>
      <b val="1"/>
      <color rgb="FFFFFFFF"/>
      <sz val="9.5"/>
    </font>
    <font>
      <name val="Arial"/>
      <charset val="1"/>
      <family val="0"/>
      <color rgb="FF0000FF"/>
      <sz val="10"/>
    </font>
    <font>
      <name val="Arial"/>
      <charset val="1"/>
      <family val="0"/>
      <color rgb="FF1A202C"/>
      <sz val="10"/>
    </font>
    <font>
      <name val="Arial"/>
      <charset val="1"/>
      <family val="0"/>
      <b val="1"/>
      <color rgb="FF000000"/>
      <sz val="10"/>
    </font>
    <font>
      <name val="Arial"/>
      <charset val="1"/>
      <family val="0"/>
      <color rgb="FF000000"/>
      <sz val="10"/>
    </font>
    <font>
      <name val="Arial"/>
      <charset val="1"/>
      <family val="0"/>
      <b val="1"/>
      <color rgb="FF0F4D2E"/>
      <sz val="10"/>
    </font>
    <font>
      <name val="Arial"/>
      <charset val="1"/>
      <family val="0"/>
      <b val="1"/>
      <color rgb="FF8A6D00"/>
      <sz val="10"/>
    </font>
    <font>
      <name val="Arial"/>
      <charset val="1"/>
      <family val="0"/>
      <i val="1"/>
      <color rgb="FF8A6D00"/>
      <sz val="8.5"/>
    </font>
    <font>
      <name val="Arial"/>
      <charset val="1"/>
      <family val="0"/>
      <color rgb="FF333333"/>
      <sz val="9"/>
    </font>
    <font>
      <name val="Arial"/>
      <charset val="1"/>
      <family val="0"/>
      <i val="1"/>
      <color rgb="FF0F4D2E"/>
      <sz val="9"/>
    </font>
    <font>
      <name val="Arial"/>
      <charset val="1"/>
      <family val="0"/>
      <color rgb="FF333333"/>
      <sz val="8.5"/>
    </font>
    <font>
      <name val="Arial"/>
      <charset val="1"/>
      <family val="0"/>
      <b val="1"/>
      <color rgb="FF1A202C"/>
      <sz val="10"/>
    </font>
    <font>
      <name val="Calibri"/>
      <color rgb="00000000"/>
      <sz val="10"/>
    </font>
    <font>
      <name val="Calibri"/>
      <b val="1"/>
      <color rgb="00FFFFFF"/>
      <sz val="16"/>
    </font>
    <font>
      <name val="Calibri"/>
      <i val="1"/>
      <color rgb="000D2747"/>
      <sz val="11"/>
    </font>
    <font>
      <name val="Calibri"/>
      <color rgb="001E1E1E"/>
      <sz val="11"/>
    </font>
    <font>
      <name val="Calibri"/>
      <b val="1"/>
      <color rgb="00C89000"/>
      <sz val="12"/>
    </font>
    <font>
      <name val="Calibri"/>
      <color rgb="001E1E1E"/>
      <sz val="10"/>
    </font>
    <font>
      <name val="Calibri"/>
      <b val="1"/>
      <color rgb="000D2747"/>
      <sz val="18"/>
    </font>
    <font>
      <name val="Calibri"/>
      <b val="1"/>
      <color rgb="000D2747"/>
      <sz val="12"/>
      <u val="single"/>
    </font>
    <font>
      <name val="Calibri"/>
      <i val="1"/>
      <color rgb="000D2747"/>
      <sz val="10"/>
    </font>
    <font>
      <name val="Calibri"/>
      <b val="1"/>
      <color rgb="00C89000"/>
      <sz val="10"/>
      <u val="single"/>
    </font>
    <font>
      <name val="Calibri"/>
      <i val="1"/>
      <color rgb="001A1A1A"/>
      <sz val="11"/>
    </font>
    <font>
      <name val="Calibri"/>
      <color rgb="001A1A1A"/>
      <sz val="11"/>
    </font>
    <font>
      <name val="Calibri"/>
      <b val="1"/>
      <color rgb="00C9A227"/>
      <sz val="12"/>
    </font>
    <font>
      <name val="Calibri"/>
      <b val="1"/>
      <color rgb="000D2747"/>
      <sz val="24"/>
    </font>
    <font>
      <name val="Calibri"/>
      <i val="1"/>
      <color rgb="001A1A1A"/>
      <sz val="10"/>
    </font>
    <font>
      <name val="Calibri"/>
      <b val="1"/>
      <color rgb="00C9A227"/>
      <sz val="10"/>
      <u val="single"/>
    </font>
  </fonts>
  <fills count="10">
    <fill>
      <patternFill/>
    </fill>
    <fill>
      <patternFill patternType="gray125"/>
    </fill>
    <fill>
      <patternFill patternType="solid">
        <fgColor rgb="FF0D2747"/>
        <bgColor rgb="FF1A202C"/>
      </patternFill>
    </fill>
    <fill>
      <patternFill patternType="solid">
        <fgColor rgb="FFF4F8FF"/>
        <bgColor rgb="FFFFFFFF"/>
      </patternFill>
    </fill>
    <fill>
      <patternFill patternType="solid">
        <fgColor rgb="FFFBF1D6"/>
        <bgColor rgb="FFFFF2CC"/>
      </patternFill>
    </fill>
    <fill>
      <patternFill patternType="solid">
        <fgColor rgb="FFFFF2CC"/>
        <bgColor rgb="FFFBF1D6"/>
      </patternFill>
    </fill>
    <fill>
      <patternFill patternType="solid">
        <fgColor rgb="000D2747"/>
        <bgColor rgb="000D2747"/>
      </patternFill>
    </fill>
    <fill>
      <patternFill patternType="solid">
        <fgColor rgb="00FBF7EC"/>
        <bgColor rgb="00FBF7EC"/>
      </patternFill>
    </fill>
    <fill>
      <patternFill patternType="solid">
        <fgColor rgb="00C89000"/>
        <bgColor rgb="00C89000"/>
      </patternFill>
    </fill>
    <fill>
      <patternFill patternType="solid">
        <fgColor rgb="00C9A227"/>
        <bgColor rgb="00C9A227"/>
      </patternFill>
    </fill>
  </fills>
  <borders count="2">
    <border>
      <left/>
      <right/>
      <top/>
      <bottom/>
      <diagonal/>
    </border>
    <border>
      <left style="thin">
        <color rgb="FFD0D5DD"/>
      </left>
      <right style="thin">
        <color rgb="FFD0D5DD"/>
      </right>
      <top style="thin">
        <color rgb="FFD0D5DD"/>
      </top>
      <bottom style="thin">
        <color rgb="FFD0D5DD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12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bottom"/>
    </xf>
    <xf numFmtId="0" fontId="5" fillId="0" borderId="0" applyAlignment="1" pivotButton="0" quotePrefix="0" xfId="0">
      <alignment horizontal="center" vertical="bottom"/>
    </xf>
    <xf numFmtId="0" fontId="6" fillId="0" borderId="0" applyAlignment="1" pivotButton="0" quotePrefix="0" xfId="0">
      <alignment horizontal="center" vertical="bottom"/>
    </xf>
    <xf numFmtId="0" fontId="7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top" wrapText="1"/>
    </xf>
    <xf numFmtId="0" fontId="11" fillId="2" borderId="0" applyAlignment="1" pivotButton="0" quotePrefix="0" xfId="0">
      <alignment horizontal="left" vertical="center" indent="1"/>
    </xf>
    <xf numFmtId="0" fontId="12" fillId="0" borderId="0" applyAlignment="1" pivotButton="0" quotePrefix="0" xfId="0">
      <alignment horizontal="general" vertical="bottom" indent="1"/>
    </xf>
    <xf numFmtId="0" fontId="13" fillId="2" borderId="1" applyAlignment="1" pivotButton="0" quotePrefix="0" xfId="0">
      <alignment horizontal="center" vertical="bottom" wrapText="1"/>
    </xf>
    <xf numFmtId="164" fontId="14" fillId="3" borderId="1" applyAlignment="1" pivotButton="0" quotePrefix="0" xfId="0">
      <alignment horizontal="right" vertical="bottom"/>
    </xf>
    <xf numFmtId="0" fontId="15" fillId="0" borderId="0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164" fontId="16" fillId="0" borderId="1" applyAlignment="1" pivotButton="0" quotePrefix="0" xfId="0">
      <alignment horizontal="right" vertical="bottom"/>
    </xf>
    <xf numFmtId="0" fontId="15" fillId="0" borderId="0" applyAlignment="1" pivotButton="0" quotePrefix="0" xfId="0">
      <alignment horizontal="general" vertical="bottom" indent="1"/>
    </xf>
    <xf numFmtId="164" fontId="17" fillId="0" borderId="1" applyAlignment="1" pivotButton="0" quotePrefix="0" xfId="0">
      <alignment horizontal="right" vertical="bottom"/>
    </xf>
    <xf numFmtId="164" fontId="18" fillId="0" borderId="1" applyAlignment="1" pivotButton="0" quotePrefix="0" xfId="0">
      <alignment horizontal="right" vertical="bottom"/>
    </xf>
    <xf numFmtId="164" fontId="19" fillId="0" borderId="1" applyAlignment="1" pivotButton="0" quotePrefix="0" xfId="0">
      <alignment horizontal="right" vertical="bottom"/>
    </xf>
    <xf numFmtId="165" fontId="17" fillId="0" borderId="1" applyAlignment="1" pivotButton="0" quotePrefix="0" xfId="0">
      <alignment horizontal="right" vertical="bottom"/>
    </xf>
    <xf numFmtId="0" fontId="20" fillId="0" borderId="0" applyAlignment="1" pivotButton="0" quotePrefix="0" xfId="0">
      <alignment horizontal="general" vertical="top" wrapText="1"/>
    </xf>
    <xf numFmtId="0" fontId="21" fillId="0" borderId="1" applyAlignment="1" pivotButton="0" quotePrefix="0" xfId="0">
      <alignment horizontal="general" vertical="bottom"/>
    </xf>
    <xf numFmtId="0" fontId="12" fillId="0" borderId="1" applyAlignment="1" pivotButton="0" quotePrefix="0" xfId="0">
      <alignment horizontal="general" vertical="bottom"/>
    </xf>
    <xf numFmtId="0" fontId="22" fillId="0" borderId="1" applyAlignment="1" pivotButton="0" quotePrefix="0" xfId="0">
      <alignment horizontal="general" vertical="bottom"/>
    </xf>
    <xf numFmtId="166" fontId="18" fillId="0" borderId="1" applyAlignment="1" pivotButton="0" quotePrefix="0" xfId="0">
      <alignment horizontal="right" vertical="bottom"/>
    </xf>
    <xf numFmtId="165" fontId="19" fillId="0" borderId="1" applyAlignment="1" pivotButton="0" quotePrefix="0" xfId="0">
      <alignment horizontal="right" vertical="bottom"/>
    </xf>
    <xf numFmtId="0" fontId="23" fillId="0" borderId="1" applyAlignment="1" pivotButton="0" quotePrefix="0" xfId="0">
      <alignment horizontal="general" vertical="bottom"/>
    </xf>
    <xf numFmtId="165" fontId="16" fillId="0" borderId="1" applyAlignment="1" pivotButton="0" quotePrefix="0" xfId="0">
      <alignment horizontal="right" vertical="bottom"/>
    </xf>
    <xf numFmtId="0" fontId="10" fillId="0" borderId="1" applyAlignment="1" pivotButton="0" quotePrefix="0" xfId="0">
      <alignment horizontal="general" vertical="bottom"/>
    </xf>
    <xf numFmtId="167" fontId="14" fillId="3" borderId="1" applyAlignment="1" pivotButton="0" quotePrefix="0" xfId="0">
      <alignment horizontal="right" vertical="bottom"/>
    </xf>
    <xf numFmtId="166" fontId="14" fillId="3" borderId="1" applyAlignment="1" pivotButton="0" quotePrefix="0" xfId="0">
      <alignment horizontal="right" vertical="bottom"/>
    </xf>
    <xf numFmtId="0" fontId="15" fillId="0" borderId="1" applyAlignment="1" pivotButton="0" quotePrefix="0" xfId="0">
      <alignment horizontal="right" vertical="bottom"/>
    </xf>
    <xf numFmtId="0" fontId="8" fillId="4" borderId="0" applyAlignment="1" pivotButton="0" quotePrefix="0" xfId="0">
      <alignment horizontal="general" vertical="bottom"/>
    </xf>
    <xf numFmtId="167" fontId="14" fillId="4" borderId="1" applyAlignment="1" pivotButton="0" quotePrefix="0" xfId="0">
      <alignment horizontal="right" vertical="bottom"/>
    </xf>
    <xf numFmtId="166" fontId="14" fillId="4" borderId="1" applyAlignment="1" pivotButton="0" quotePrefix="0" xfId="0">
      <alignment horizontal="right" vertical="bottom"/>
    </xf>
    <xf numFmtId="0" fontId="15" fillId="4" borderId="1" applyAlignment="1" pivotButton="0" quotePrefix="0" xfId="0">
      <alignment horizontal="right" vertical="bottom"/>
    </xf>
    <xf numFmtId="0" fontId="23" fillId="4" borderId="1" applyAlignment="1" pivotButton="0" quotePrefix="0" xfId="0">
      <alignment horizontal="general" vertical="bottom"/>
    </xf>
    <xf numFmtId="166" fontId="19" fillId="0" borderId="1" applyAlignment="1" pivotButton="0" quotePrefix="0" xfId="0">
      <alignment horizontal="right" vertical="bottom"/>
    </xf>
    <xf numFmtId="0" fontId="10" fillId="0" borderId="0" applyAlignment="1" pivotButton="0" quotePrefix="0" xfId="0">
      <alignment horizontal="general" vertical="bottom"/>
    </xf>
    <xf numFmtId="165" fontId="14" fillId="5" borderId="1" applyAlignment="1" pivotButton="0" quotePrefix="0" xfId="0">
      <alignment horizontal="right" vertical="bottom"/>
    </xf>
    <xf numFmtId="164" fontId="14" fillId="5" borderId="1" applyAlignment="1" pivotButton="0" quotePrefix="0" xfId="0">
      <alignment horizontal="right" vertical="bottom"/>
    </xf>
    <xf numFmtId="0" fontId="12" fillId="0" borderId="0" applyAlignment="1" pivotButton="0" quotePrefix="0" xfId="0">
      <alignment horizontal="general" vertical="bottom"/>
    </xf>
    <xf numFmtId="0" fontId="23" fillId="0" borderId="1" applyAlignment="1" pivotButton="0" quotePrefix="0" xfId="0">
      <alignment horizontal="general" vertical="top" wrapText="1"/>
    </xf>
    <xf numFmtId="0" fontId="24" fillId="4" borderId="1" applyAlignment="1" pivotButton="0" quotePrefix="0" xfId="0">
      <alignment horizontal="right" vertical="bottom"/>
    </xf>
    <xf numFmtId="166" fontId="16" fillId="0" borderId="1" applyAlignment="1" pivotButton="0" quotePrefix="0" xfId="0">
      <alignment horizontal="right" vertical="bottom"/>
    </xf>
    <xf numFmtId="4" fontId="14" fillId="3" borderId="1" applyAlignment="1" pivotButton="0" quotePrefix="0" xfId="0">
      <alignment horizontal="right" vertical="bottom"/>
    </xf>
    <xf numFmtId="168" fontId="14" fillId="3" borderId="1" applyAlignment="1" pivotButton="0" quotePrefix="0" xfId="0">
      <alignment horizontal="right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bottom"/>
    </xf>
    <xf numFmtId="0" fontId="5" fillId="0" borderId="0" applyAlignment="1" pivotButton="0" quotePrefix="0" xfId="0">
      <alignment horizontal="center" vertical="bottom"/>
    </xf>
    <xf numFmtId="0" fontId="6" fillId="0" borderId="0" applyAlignment="1" pivotButton="0" quotePrefix="0" xfId="0">
      <alignment horizontal="center" vertical="bottom"/>
    </xf>
    <xf numFmtId="0" fontId="7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top" wrapText="1"/>
    </xf>
    <xf numFmtId="0" fontId="11" fillId="2" borderId="0" applyAlignment="1" pivotButton="0" quotePrefix="0" xfId="0">
      <alignment horizontal="left" vertical="center" indent="1"/>
    </xf>
    <xf numFmtId="0" fontId="12" fillId="0" borderId="0" applyAlignment="1" pivotButton="0" quotePrefix="0" xfId="0">
      <alignment horizontal="general" vertical="bottom" indent="1"/>
    </xf>
    <xf numFmtId="0" fontId="13" fillId="2" borderId="1" applyAlignment="1" pivotButton="0" quotePrefix="0" xfId="0">
      <alignment horizontal="center" vertical="bottom" wrapText="1"/>
    </xf>
    <xf numFmtId="164" fontId="14" fillId="3" borderId="1" applyAlignment="1" pivotButton="0" quotePrefix="0" xfId="0">
      <alignment horizontal="right" vertical="bottom"/>
    </xf>
    <xf numFmtId="0" fontId="15" fillId="0" borderId="0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164" fontId="25" fillId="0" borderId="1" applyAlignment="1" pivotButton="0" quotePrefix="0" xfId="0">
      <alignment horizontal="right" vertical="bottom"/>
    </xf>
    <xf numFmtId="0" fontId="15" fillId="0" borderId="0" applyAlignment="1" pivotButton="0" quotePrefix="0" xfId="0">
      <alignment horizontal="general" vertical="bottom" indent="1"/>
    </xf>
    <xf numFmtId="164" fontId="18" fillId="0" borderId="1" applyAlignment="1" pivotButton="0" quotePrefix="0" xfId="0">
      <alignment horizontal="right" vertical="bottom"/>
    </xf>
    <xf numFmtId="164" fontId="19" fillId="0" borderId="1" applyAlignment="1" pivotButton="0" quotePrefix="0" xfId="0">
      <alignment horizontal="right" vertical="bottom"/>
    </xf>
    <xf numFmtId="165" fontId="25" fillId="0" borderId="1" applyAlignment="1" pivotButton="0" quotePrefix="0" xfId="0">
      <alignment horizontal="right" vertical="bottom"/>
    </xf>
    <xf numFmtId="0" fontId="20" fillId="0" borderId="0" applyAlignment="1" pivotButton="0" quotePrefix="0" xfId="0">
      <alignment horizontal="general" vertical="top" wrapText="1"/>
    </xf>
    <xf numFmtId="0" fontId="21" fillId="0" borderId="1" applyAlignment="1" pivotButton="0" quotePrefix="0" xfId="0">
      <alignment horizontal="general" vertical="bottom"/>
    </xf>
    <xf numFmtId="0" fontId="12" fillId="0" borderId="1" applyAlignment="1" pivotButton="0" quotePrefix="0" xfId="0">
      <alignment horizontal="general" vertical="bottom"/>
    </xf>
    <xf numFmtId="0" fontId="22" fillId="0" borderId="1" applyAlignment="1" pivotButton="0" quotePrefix="0" xfId="0">
      <alignment horizontal="general" vertical="bottom"/>
    </xf>
    <xf numFmtId="166" fontId="18" fillId="0" borderId="1" applyAlignment="1" pivotButton="0" quotePrefix="0" xfId="0">
      <alignment horizontal="right" vertical="bottom"/>
    </xf>
    <xf numFmtId="165" fontId="19" fillId="0" borderId="1" applyAlignment="1" pivotButton="0" quotePrefix="0" xfId="0">
      <alignment horizontal="right" vertical="bottom"/>
    </xf>
    <xf numFmtId="0" fontId="23" fillId="0" borderId="1" applyAlignment="1" pivotButton="0" quotePrefix="0" xfId="0">
      <alignment horizontal="general" vertical="bottom"/>
    </xf>
    <xf numFmtId="0" fontId="10" fillId="0" borderId="1" applyAlignment="1" pivotButton="0" quotePrefix="0" xfId="0">
      <alignment horizontal="general" vertical="bottom"/>
    </xf>
    <xf numFmtId="167" fontId="14" fillId="3" borderId="1" applyAlignment="1" pivotButton="0" quotePrefix="0" xfId="0">
      <alignment horizontal="right" vertical="bottom"/>
    </xf>
    <xf numFmtId="166" fontId="14" fillId="3" borderId="1" applyAlignment="1" pivotButton="0" quotePrefix="0" xfId="0">
      <alignment horizontal="right" vertical="bottom"/>
    </xf>
    <xf numFmtId="0" fontId="15" fillId="0" borderId="1" applyAlignment="1" pivotButton="0" quotePrefix="0" xfId="0">
      <alignment horizontal="right" vertical="bottom"/>
    </xf>
    <xf numFmtId="0" fontId="8" fillId="4" borderId="0" applyAlignment="1" pivotButton="0" quotePrefix="0" xfId="0">
      <alignment horizontal="general" vertical="bottom"/>
    </xf>
    <xf numFmtId="167" fontId="14" fillId="4" borderId="1" applyAlignment="1" pivotButton="0" quotePrefix="0" xfId="0">
      <alignment horizontal="right" vertical="bottom"/>
    </xf>
    <xf numFmtId="166" fontId="14" fillId="4" borderId="1" applyAlignment="1" pivotButton="0" quotePrefix="0" xfId="0">
      <alignment horizontal="right" vertical="bottom"/>
    </xf>
    <xf numFmtId="0" fontId="15" fillId="4" borderId="1" applyAlignment="1" pivotButton="0" quotePrefix="0" xfId="0">
      <alignment horizontal="right" vertical="bottom"/>
    </xf>
    <xf numFmtId="0" fontId="23" fillId="4" borderId="1" applyAlignment="1" pivotButton="0" quotePrefix="0" xfId="0">
      <alignment horizontal="general" vertical="bottom"/>
    </xf>
    <xf numFmtId="166" fontId="19" fillId="0" borderId="1" applyAlignment="1" pivotButton="0" quotePrefix="0" xfId="0">
      <alignment horizontal="right" vertical="bottom"/>
    </xf>
    <xf numFmtId="0" fontId="10" fillId="0" borderId="0" applyAlignment="1" pivotButton="0" quotePrefix="0" xfId="0">
      <alignment horizontal="general" vertical="bottom"/>
    </xf>
    <xf numFmtId="165" fontId="14" fillId="5" borderId="1" applyAlignment="1" pivotButton="0" quotePrefix="0" xfId="0">
      <alignment horizontal="right" vertical="bottom"/>
    </xf>
    <xf numFmtId="164" fontId="14" fillId="5" borderId="1" applyAlignment="1" pivotButton="0" quotePrefix="0" xfId="0">
      <alignment horizontal="right" vertical="bottom"/>
    </xf>
    <xf numFmtId="0" fontId="12" fillId="0" borderId="0" applyAlignment="1" pivotButton="0" quotePrefix="0" xfId="0">
      <alignment horizontal="general" vertical="bottom"/>
    </xf>
    <xf numFmtId="0" fontId="23" fillId="0" borderId="1" applyAlignment="1" pivotButton="0" quotePrefix="0" xfId="0">
      <alignment horizontal="general" vertical="top" wrapText="1"/>
    </xf>
    <xf numFmtId="0" fontId="24" fillId="4" borderId="1" applyAlignment="1" pivotButton="0" quotePrefix="0" xfId="0">
      <alignment horizontal="right" vertical="bottom"/>
    </xf>
    <xf numFmtId="166" fontId="25" fillId="0" borderId="1" applyAlignment="1" pivotButton="0" quotePrefix="0" xfId="0">
      <alignment horizontal="right" vertical="bottom"/>
    </xf>
    <xf numFmtId="4" fontId="14" fillId="3" borderId="1" applyAlignment="1" pivotButton="0" quotePrefix="0" xfId="0">
      <alignment horizontal="right" vertical="bottom"/>
    </xf>
    <xf numFmtId="168" fontId="14" fillId="3" borderId="1" applyAlignment="1" pivotButton="0" quotePrefix="0" xfId="0">
      <alignment horizontal="right" vertical="bottom"/>
    </xf>
    <xf numFmtId="0" fontId="26" fillId="6" borderId="0" applyAlignment="1" pivotButton="0" quotePrefix="0" xfId="0">
      <alignment horizontal="center" vertical="center" wrapText="1"/>
    </xf>
    <xf numFmtId="0" fontId="27" fillId="7" borderId="0" applyAlignment="1" pivotButton="0" quotePrefix="0" xfId="0">
      <alignment horizontal="center" vertical="center" wrapText="1"/>
    </xf>
    <xf numFmtId="0" fontId="28" fillId="7" borderId="0" applyAlignment="1" pivotButton="0" quotePrefix="0" xfId="0">
      <alignment horizontal="center" vertical="center" wrapText="1"/>
    </xf>
    <xf numFmtId="0" fontId="29" fillId="6" borderId="0" applyAlignment="1" pivotButton="0" quotePrefix="0" xfId="0">
      <alignment horizontal="center" vertical="center" wrapText="1"/>
    </xf>
    <xf numFmtId="0" fontId="30" fillId="7" borderId="0" applyAlignment="1" pivotButton="0" quotePrefix="0" xfId="0">
      <alignment horizontal="left" vertical="center" wrapText="1" indent="1"/>
    </xf>
    <xf numFmtId="0" fontId="30" fillId="7" borderId="0" applyAlignment="1" pivotButton="0" quotePrefix="0" xfId="0">
      <alignment horizontal="center" vertical="center" wrapText="1"/>
    </xf>
    <xf numFmtId="0" fontId="31" fillId="8" borderId="0" applyAlignment="1" pivotButton="0" quotePrefix="0" xfId="0">
      <alignment horizontal="center" vertical="center" wrapText="1"/>
    </xf>
    <xf numFmtId="0" fontId="32" fillId="7" borderId="0" applyAlignment="1" pivotButton="0" quotePrefix="0" xfId="0">
      <alignment horizontal="center" vertical="center" wrapText="1"/>
    </xf>
    <xf numFmtId="0" fontId="33" fillId="7" borderId="0" applyAlignment="1" pivotButton="0" quotePrefix="0" xfId="0">
      <alignment horizontal="center" vertical="center" wrapText="1"/>
    </xf>
    <xf numFmtId="0" fontId="34" fillId="7" borderId="0" applyAlignment="1" pivotButton="0" quotePrefix="0" xfId="0">
      <alignment horizontal="center" vertical="center" wrapText="1"/>
    </xf>
    <xf numFmtId="0" fontId="26" fillId="6" borderId="0" applyAlignment="1" pivotButton="0" quotePrefix="0" xfId="0">
      <alignment horizontal="center" vertical="center"/>
    </xf>
    <xf numFmtId="0" fontId="35" fillId="7" borderId="0" applyAlignment="1" pivotButton="0" quotePrefix="0" xfId="0">
      <alignment horizontal="center" vertical="center"/>
    </xf>
    <xf numFmtId="0" fontId="36" fillId="0" borderId="0" applyAlignment="1" pivotButton="0" quotePrefix="0" xfId="0">
      <alignment horizontal="center" vertical="center" wrapText="1"/>
    </xf>
    <xf numFmtId="0" fontId="37" fillId="6" borderId="0" applyAlignment="1" pivotButton="0" quotePrefix="0" xfId="0">
      <alignment horizontal="center" vertical="center"/>
    </xf>
    <xf numFmtId="0" fontId="35" fillId="0" borderId="0" applyAlignment="1" pivotButton="0" quotePrefix="0" xfId="0">
      <alignment horizontal="center" vertical="center"/>
    </xf>
    <xf numFmtId="0" fontId="38" fillId="9" borderId="0" applyAlignment="1" pivotButton="0" quotePrefix="0" xfId="0">
      <alignment horizontal="center" vertical="center"/>
    </xf>
    <xf numFmtId="0" fontId="32" fillId="7" borderId="0" applyAlignment="1" pivotButton="0" quotePrefix="0" xfId="0">
      <alignment horizontal="center" vertical="center"/>
    </xf>
    <xf numFmtId="0" fontId="39" fillId="7" borderId="0" applyAlignment="1" pivotButton="0" quotePrefix="0" xfId="0">
      <alignment horizontal="center" vertical="center"/>
    </xf>
    <xf numFmtId="0" fontId="40" fillId="7" borderId="0" applyAlignment="1" pivotButton="0" quotePrefix="0" xfId="0">
      <alignment horizontal="center" vertical="center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A6D00"/>
      <rgbColor rgb="FF800080"/>
      <rgbColor rgb="FF008080"/>
      <rgbColor rgb="FFC0C0C0"/>
      <rgbColor rgb="FF808080"/>
      <rgbColor rgb="FF9999FF"/>
      <rgbColor rgb="FF993366"/>
      <rgbColor rgb="FFFFF2CC"/>
      <rgbColor rgb="FFF4F8FF"/>
      <rgbColor rgb="FF660066"/>
      <rgbColor rgb="FFFF8080"/>
      <rgbColor rgb="FF0066CC"/>
      <rgbColor rgb="FFD0D5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BF1D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A6473"/>
      <rgbColor rgb="FF969696"/>
      <rgbColor rgb="FF0D2747"/>
      <rgbColor rgb="FF339966"/>
      <rgbColor rgb="FF0F4D2E"/>
      <rgbColor rgb="FF1A202C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baratelliinstitute.gumroad.com/l/isetaw" TargetMode="External" Id="rId1"/><Relationship Type="http://schemas.openxmlformats.org/officeDocument/2006/relationships/hyperlink" Target="https://baratelliinstitute.com" TargetMode="Externa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7"/>
  <sheetViews>
    <sheetView showGridLines="0" tabSelected="0" workbookViewId="0">
      <selection activeCell="A1" sqref="A1"/>
    </sheetView>
  </sheetViews>
  <sheetFormatPr baseColWidth="8" defaultRowHeight="15"/>
  <cols>
    <col width="14" customWidth="1" style="48" min="1" max="1"/>
    <col width="14" customWidth="1" style="48" min="2" max="2"/>
    <col width="14" customWidth="1" style="48" min="3" max="3"/>
    <col width="14" customWidth="1" style="48" min="4" max="4"/>
    <col width="14" customWidth="1" style="48" min="5" max="5"/>
    <col width="14" customWidth="1" style="48" min="6" max="6"/>
  </cols>
  <sheetData>
    <row r="1" ht="32" customHeight="1" s="48">
      <c r="A1" s="103" t="inlineStr">
        <is>
          <t>THE BARATELLI FINANCIAL MODELING TOOLKIT</t>
        </is>
      </c>
    </row>
    <row r="2" ht="22" customHeight="1" s="48">
      <c r="A2" s="104" t="inlineStr">
        <is>
          <t>Production templates for M&amp;A, valuation, PE, and 3-statement modeling</t>
        </is>
      </c>
    </row>
    <row r="3" ht="12" customHeight="1" s="48"/>
    <row r="4" ht="34" customHeight="1" s="48">
      <c r="A4" s="105" t="inlineStr">
        <is>
          <t>You are looking at one case study Excel model. The full Toolkit gives you the production templates blank-and-ready for YOUR own deals.</t>
        </is>
      </c>
    </row>
    <row r="5" ht="10" customHeight="1" s="48"/>
    <row r="6" ht="22" customHeight="1" s="48">
      <c r="A6" s="106" t="inlineStr">
        <is>
          <t>26 Excel templates + 50+ page methodology PDF</t>
        </is>
      </c>
    </row>
    <row r="7" ht="10" customHeight="1" s="48"/>
    <row r="8" ht="20" customHeight="1" s="48">
      <c r="A8" s="107" t="inlineStr">
        <is>
          <t>Built by CPAs, MBAs, and career practitioners</t>
        </is>
      </c>
    </row>
    <row r="9" ht="12" customHeight="1" s="48"/>
    <row r="10" ht="40" customHeight="1" s="48">
      <c r="A10" s="108" t="inlineStr">
        <is>
          <t>$99 USD</t>
        </is>
      </c>
    </row>
    <row r="11" ht="22" customHeight="1" s="48">
      <c r="A11" s="109" t="inlineStr">
        <is>
          <t>at gumroad.com/l/isetaw</t>
        </is>
      </c>
    </row>
    <row r="12" ht="10" customHeight="1" s="48"/>
    <row r="13" ht="18" customHeight="1" s="48">
      <c r="A13" s="110" t="inlineStr">
        <is>
          <t>Also available: £79 GBP · €89 EUR</t>
        </is>
      </c>
    </row>
    <row r="14" ht="10" customHeight="1" s="48"/>
    <row r="15" ht="20" customHeight="1" s="48">
      <c r="A15" s="110" t="inlineStr">
        <is>
          <t>Enterprise licensing available for firms. Contact enterprise@baratelliinstitute.com</t>
        </is>
      </c>
    </row>
    <row r="16" ht="10" customHeight="1" s="48"/>
    <row r="17" ht="20" customHeight="1" s="48">
      <c r="A17" s="111" t="inlineStr">
        <is>
          <t>baratelliinstitute.com</t>
        </is>
      </c>
    </row>
  </sheetData>
  <mergeCells count="10">
    <mergeCell ref="A2:F2"/>
    <mergeCell ref="A11:F11"/>
    <mergeCell ref="A10:F10"/>
    <mergeCell ref="A13:F13"/>
    <mergeCell ref="A1:F1"/>
    <mergeCell ref="A8:F8"/>
    <mergeCell ref="A6:F6"/>
    <mergeCell ref="A17:F17"/>
    <mergeCell ref="A4:F4"/>
    <mergeCell ref="A15:F15"/>
  </mergeCells>
  <hyperlinks>
    <hyperlink xmlns:r="http://schemas.openxmlformats.org/officeDocument/2006/relationships" ref="A11" r:id="rId1"/>
    <hyperlink xmlns:r="http://schemas.openxmlformats.org/officeDocument/2006/relationships" ref="A17" r:id="rId2"/>
  </hyperlinks>
  <pageMargins left="0.75" right="0.75" top="1" bottom="1" header="0.5" footer="0.5"/>
</worksheet>
</file>

<file path=xl/worksheets/sheet10.xml><?xml version="1.0" encoding="utf-8"?>
<worksheet xmlns="http://schemas.openxmlformats.org/spreadsheetml/2006/main">
  <sheetPr filterMode="0">
    <outlinePr summaryBelow="1" summaryRight="1"/>
    <pageSetUpPr fitToPage="1"/>
  </sheetPr>
  <dimension ref="A1:C40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40" customWidth="1" style="47" min="1" max="1"/>
    <col width="14" customWidth="1" style="47" min="2" max="2"/>
    <col width="60" customWidth="1" style="47" min="3" max="3"/>
  </cols>
  <sheetData>
    <row r="1" ht="25.5" customHeight="1" s="48">
      <c r="A1" s="56" t="inlineStr">
        <is>
          <t>Berkshire's Alphabet stake vs its cash engine</t>
        </is>
      </c>
    </row>
    <row r="2" ht="15" customHeight="1" s="48">
      <c r="A2" s="57" t="inlineStr">
        <is>
          <t>$ in billions unless noted. Cost basis is apples-to-apples (open-market 13F tranches), with the separate June 2026 direct placement shown additively. Includes look-through earnings.</t>
        </is>
      </c>
    </row>
    <row r="5" ht="15" customHeight="1" s="48">
      <c r="A5" s="53" t="inlineStr">
        <is>
          <t>THE POSITION</t>
        </is>
      </c>
    </row>
    <row r="6" ht="15" customHeight="1" s="48">
      <c r="A6" s="60" t="inlineStr">
        <is>
          <t>Q3 2025 13F tranche</t>
        </is>
      </c>
      <c r="B6" s="59" t="n">
        <v>4.3</v>
      </c>
      <c r="C6" s="87" t="inlineStr">
        <is>
          <t>First disclosed (filed Nov 2025)</t>
        </is>
      </c>
    </row>
    <row r="7" ht="15" customHeight="1" s="48">
      <c r="A7" s="60" t="inlineStr">
        <is>
          <t>Q1 2026 13F tranche</t>
        </is>
      </c>
      <c r="B7" s="59" t="n">
        <v>11.1</v>
      </c>
      <c r="C7" s="87" t="inlineStr">
        <is>
          <t>Tripled the stake (filed ~May 16, 2026)</t>
        </is>
      </c>
    </row>
    <row r="8" ht="15" customHeight="1" s="48">
      <c r="A8" s="53" t="inlineStr">
        <is>
          <t>Open-market cost basis (13F)</t>
        </is>
      </c>
      <c r="B8" s="65">
        <f>B6+B7</f>
        <v/>
      </c>
      <c r="C8" s="87" t="inlineStr">
        <is>
          <t>Apples-to-apples cost of the ~57.8M-share stake</t>
        </is>
      </c>
    </row>
    <row r="9" ht="15" customHeight="1" s="48">
      <c r="A9" s="60" t="inlineStr">
        <is>
          <t>Market value (Q1 2026)</t>
        </is>
      </c>
      <c r="B9" s="59" t="n">
        <v>16.6</v>
      </c>
      <c r="C9" s="87" t="inlineStr">
        <is>
          <t>~57.8M shares at March 31, 2026</t>
        </is>
      </c>
    </row>
    <row r="10" ht="15" customHeight="1" s="48">
      <c r="A10" s="53" t="inlineStr">
        <is>
          <t>Unrealized gain</t>
        </is>
      </c>
      <c r="B10" s="64">
        <f>B9-B8</f>
        <v/>
      </c>
      <c r="C10" s="87" t="inlineStr">
        <is>
          <t>Open-market position only</t>
        </is>
      </c>
    </row>
    <row r="11" ht="15" customHeight="1" s="48">
      <c r="A11" s="60" t="inlineStr">
        <is>
          <t>June 2026 direct placement</t>
        </is>
      </c>
      <c r="B11" s="59" t="n">
        <v>10</v>
      </c>
      <c r="C11" s="87" t="inlineStr">
        <is>
          <t>$5B Class A @ $351.81 + $5B Class C @ $348.20 (~28.6M new shares)</t>
        </is>
      </c>
    </row>
    <row r="12" ht="15" customHeight="1" s="48">
      <c r="A12" s="53" t="inlineStr">
        <is>
          <t>Total Alphabet capital committed</t>
        </is>
      </c>
      <c r="B12" s="65">
        <f>B8+B11</f>
        <v/>
      </c>
      <c r="C12" s="87" t="inlineStr">
        <is>
          <t>Open-market $15.4B + $10B placement</t>
        </is>
      </c>
    </row>
    <row r="13" ht="15" customHeight="1" s="48">
      <c r="A13" s="53" t="inlineStr">
        <is>
          <t>Total current value</t>
        </is>
      </c>
      <c r="B13" s="64">
        <f>B9+B11</f>
        <v/>
      </c>
      <c r="C13" s="87" t="inlineStr">
        <is>
          <t>~$16.6B market + ~$10B placement</t>
        </is>
      </c>
    </row>
    <row r="15" ht="15" customHeight="1" s="48">
      <c r="A15" s="53" t="inlineStr">
        <is>
          <t>BERKSHIRE'S ENGINE (Q1 2026)</t>
        </is>
      </c>
    </row>
    <row r="16" ht="15" customHeight="1" s="48">
      <c r="A16" s="60" t="inlineStr">
        <is>
          <t>Operating cash flow (quarter)</t>
        </is>
      </c>
      <c r="B16" s="59" t="n">
        <v>10.4</v>
      </c>
      <c r="C16" s="87" t="inlineStr">
        <is>
          <t>Berkshire Q1 2026 operating cash flow</t>
        </is>
      </c>
    </row>
    <row r="17" ht="15" customHeight="1" s="48">
      <c r="A17" s="60" t="inlineStr">
        <is>
          <t>Cash &amp; short-term investments</t>
        </is>
      </c>
      <c r="B17" s="59" t="n">
        <v>397.4</v>
      </c>
      <c r="C17" s="87" t="inlineStr">
        <is>
          <t>~$400B cash pile</t>
        </is>
      </c>
    </row>
    <row r="18" ht="15" customHeight="1" s="48">
      <c r="A18" s="60" t="inlineStr">
        <is>
          <t>Deployable cash (above ~$30B buffer)</t>
        </is>
      </c>
      <c r="B18" s="86" t="n">
        <v>381</v>
      </c>
      <c r="C18" s="87" t="inlineStr">
        <is>
          <t>Cash less insurance-float minimum buffer</t>
        </is>
      </c>
    </row>
    <row r="20" ht="15" customHeight="1" s="48">
      <c r="A20" s="53" t="inlineStr">
        <is>
          <t>SCALE OF THE BET</t>
        </is>
      </c>
    </row>
    <row r="21" ht="15" customHeight="1" s="48">
      <c r="A21" s="53" t="inlineStr">
        <is>
          <t>Total committed / deployable cash</t>
        </is>
      </c>
      <c r="B21" s="66">
        <f>B12/B18</f>
        <v/>
      </c>
      <c r="C21" s="87" t="inlineStr">
        <is>
          <t>Even the full ~$25.4B is a small slice of the war chest</t>
        </is>
      </c>
    </row>
    <row r="22" ht="15" customHeight="1" s="48">
      <c r="A22" s="53" t="inlineStr">
        <is>
          <t>Market value / total cash</t>
        </is>
      </c>
      <c r="B22" s="66">
        <f>B9/B17</f>
        <v/>
      </c>
      <c r="C22" s="87" t="inlineStr">
        <is>
          <t>The open-market stake vs the ~$400B cash pile</t>
        </is>
      </c>
    </row>
    <row r="23" ht="15" customHeight="1" s="48">
      <c r="A23" s="53" t="inlineStr">
        <is>
          <t>Total committed / quarterly OCF</t>
        </is>
      </c>
      <c r="B23" s="90">
        <f>B12/B16</f>
        <v/>
      </c>
      <c r="C23" s="87" t="inlineStr">
        <is>
          <t>~2.4x a single quarter's operating cash flow</t>
        </is>
      </c>
    </row>
    <row r="25" ht="15" customHeight="1" s="48">
      <c r="A25" s="53" t="inlineStr">
        <is>
          <t>LOOK-THROUGH EARNINGS</t>
        </is>
      </c>
    </row>
    <row r="26" ht="15" customHeight="1" s="48">
      <c r="A26" s="60" t="inlineStr">
        <is>
          <t>Alphabet FY2025 net income</t>
        </is>
      </c>
      <c r="B26" s="59" t="n">
        <v>132.2</v>
      </c>
      <c r="C26" s="87" t="inlineStr">
        <is>
          <t>Reported FY2025</t>
        </is>
      </c>
    </row>
    <row r="27" ht="15" customHeight="1" s="48">
      <c r="A27" s="60" t="inlineStr">
        <is>
          <t>Alphabet shares outstanding (B)</t>
        </is>
      </c>
      <c r="B27" s="91" t="n">
        <v>12.12</v>
      </c>
      <c r="C27" s="87" t="inlineStr">
        <is>
          <t>All classes (~5.82B A + ~0.84B B + ~5.46B C)</t>
        </is>
      </c>
    </row>
    <row r="28" ht="15" customHeight="1" s="48">
      <c r="A28" s="60" t="inlineStr">
        <is>
          <t>BRK shares — open-market (M)</t>
        </is>
      </c>
      <c r="B28" s="92" t="n">
        <v>57.8</v>
      </c>
      <c r="C28" s="87" t="inlineStr">
        <is>
          <t>13F position</t>
        </is>
      </c>
    </row>
    <row r="29" ht="15" customHeight="1" s="48">
      <c r="A29" s="60" t="inlineStr">
        <is>
          <t>BRK shares — incl. placement (M)</t>
        </is>
      </c>
      <c r="B29" s="92" t="n">
        <v>86.40000000000001</v>
      </c>
      <c r="C29" s="87" t="inlineStr">
        <is>
          <t>+~28.6M from June placement</t>
        </is>
      </c>
    </row>
    <row r="30" ht="15" customHeight="1" s="48">
      <c r="A30" s="53" t="inlineStr">
        <is>
          <t>Ownership — open-market</t>
        </is>
      </c>
      <c r="B30" s="66">
        <f>B28/1000/B27</f>
        <v/>
      </c>
      <c r="C30" s="87" t="inlineStr">
        <is>
          <t>Share of all Alphabet stock</t>
        </is>
      </c>
    </row>
    <row r="31" ht="15" customHeight="1" s="48">
      <c r="A31" s="53" t="inlineStr">
        <is>
          <t>Ownership — incl. placement</t>
        </is>
      </c>
      <c r="B31" s="66">
        <f>B29/1000/B27</f>
        <v/>
      </c>
    </row>
    <row r="32" ht="15" customHeight="1" s="48">
      <c r="A32" s="53" t="inlineStr">
        <is>
          <t>Look-through earnings — open-market</t>
        </is>
      </c>
      <c r="B32" s="64">
        <f>B30*B26</f>
        <v/>
      </c>
      <c r="C32" s="87" t="inlineStr">
        <is>
          <t>Ownership % x FY2025 net income</t>
        </is>
      </c>
    </row>
    <row r="33" ht="15" customHeight="1" s="48">
      <c r="A33" s="53" t="inlineStr">
        <is>
          <t>Look-through earnings — incl. placement</t>
        </is>
      </c>
      <c r="B33" s="64">
        <f>B31*B26</f>
        <v/>
      </c>
      <c r="C33" s="87" t="inlineStr">
        <is>
          <t>Berkshire's economic share of Alphabet's profit</t>
        </is>
      </c>
    </row>
    <row r="35" ht="15" customHeight="1" s="48">
      <c r="A35" s="67" t="inlineStr">
        <is>
          <t>The cost basis is stated apples-to-apples: the ~$15.4B open-market 13F tranches (Q3'25 $4.3B + Q1'26 $11.1B) bought the ~57.8M-share stake worth ~$16.6B. The June 2026 $10B direct placement is a separate, additional investment, so total committed Alphabet capital is ~$25.4B against ~$26.6B current value. Look-through earnings (Buffett's preferred lens) = Berkshire's ownership % x Alphabet's FY2025 net income of $132.2B: ~$0.6B on the open-market stake, ~$0.9B including the placement. Even the full commitment is a small fraction of Berkshire's ~$400B cash — it did not need to sell Apple to fund this.</t>
        </is>
      </c>
    </row>
    <row r="36" ht="15" customHeight="1" s="48"/>
    <row r="37" ht="15" customHeight="1" s="48"/>
    <row r="38" ht="15" customHeight="1" s="48"/>
    <row r="39" ht="15" customHeight="1" s="48"/>
    <row r="40" ht="15" customHeight="1" s="48"/>
  </sheetData>
  <mergeCells count="3">
    <mergeCell ref="A1:C1"/>
    <mergeCell ref="A2:C2"/>
    <mergeCell ref="A35:C40"/>
  </mergeCell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&amp;L&amp;8 &amp;K3C3F45Position vs BRK&amp;R&amp;8 &amp;KC89000BARATELLI INSTITUTE  *  MENTORING AT SCALE</oddHeader>
    <oddFooter>&amp;L&amp;8 &amp;K3C3F45baratelliinstitute.com&amp;C&amp;8 &amp;K3C3F45Page &amp;P of &amp;N&amp;R&amp;8 &amp;K3C3F45Alphabet BR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1"/>
  </sheetPr>
  <dimension ref="A1:F18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2" customWidth="1" style="47" min="1" max="1"/>
    <col width="24" customWidth="1" style="47" min="2" max="2"/>
    <col width="62" customWidth="1" style="47" min="3" max="3"/>
    <col width="10" customWidth="1" style="47" min="4" max="6"/>
  </cols>
  <sheetData>
    <row r="1" ht="24" customHeight="1" s="48">
      <c r="A1" s="49" t="inlineStr">
        <is>
          <t>THE BARATELLI INSTITUTE  ·  BERKSHIRE READ</t>
        </is>
      </c>
    </row>
    <row r="3" ht="24.45" customHeight="1" s="48">
      <c r="A3" s="50" t="inlineStr">
        <is>
          <t>Alphabet (GOOGL) — Full Financial Model</t>
        </is>
      </c>
    </row>
    <row r="4" ht="15" customHeight="1" s="48">
      <c r="A4" s="51" t="inlineStr">
        <is>
          <t>Case 3 companion  ·  $ in billions unless noted  ·  2026 edition</t>
        </is>
      </c>
    </row>
    <row r="6" ht="15" customHeight="1" s="48">
      <c r="B6" s="52" t="inlineStr">
        <is>
          <t>Tabs in this workbook</t>
        </is>
      </c>
    </row>
    <row r="7" ht="15" customHeight="1" s="48">
      <c r="B7" s="53" t="inlineStr">
        <is>
          <t>Income Statement</t>
        </is>
      </c>
      <c r="C7" s="54" t="inlineStr">
        <is>
          <t>Revenue, margins, EBITDA, net income — FY2023-FY2025 + Q1'26</t>
        </is>
      </c>
    </row>
    <row r="8" ht="15" customHeight="1" s="48">
      <c r="B8" s="53" t="inlineStr">
        <is>
          <t>Balance Sheet</t>
        </is>
      </c>
      <c r="C8" s="54" t="inlineStr">
        <is>
          <t>Fortress balance sheet: ~$127B cash vs ~$47B debt = ~$80B net cash</t>
        </is>
      </c>
    </row>
    <row r="9" ht="15" customHeight="1" s="48">
      <c r="B9" s="53" t="inlineStr">
        <is>
          <t>Cash Flow Statement</t>
        </is>
      </c>
      <c r="C9" s="54" t="inlineStr">
        <is>
          <t>Operating cash flow, capex, free cash flow, buybacks &amp; dividends</t>
        </is>
      </c>
    </row>
    <row r="10" ht="15" customHeight="1" s="48">
      <c r="B10" s="53" t="inlineStr">
        <is>
          <t>Segments</t>
        </is>
      </c>
      <c r="C10" s="54" t="inlineStr">
        <is>
          <t>Google Services, Google Cloud, Other Bets — FY2025 10-K</t>
        </is>
      </c>
    </row>
    <row r="11" ht="15" customHeight="1" s="48">
      <c r="B11" s="53" t="inlineStr">
        <is>
          <t>Valuation vs Big Tech</t>
        </is>
      </c>
      <c r="C11" s="54" t="inlineStr">
        <is>
          <t>P/E and EV/EBITDA vs NVDA, AAPL, AMZN, MSFT, META</t>
        </is>
      </c>
    </row>
    <row r="12" ht="15" customHeight="1" s="48">
      <c r="B12" s="53" t="inlineStr">
        <is>
          <t>Returns &amp; Capital Quality</t>
        </is>
      </c>
      <c r="C12" s="54" t="inlineStr">
        <is>
          <t>ROIC, ROE, FCF margin — why a quality buyer pays up</t>
        </is>
      </c>
    </row>
    <row r="13" ht="15" customHeight="1" s="48">
      <c r="B13" s="53" t="inlineStr">
        <is>
          <t>Venture Stakes</t>
        </is>
      </c>
      <c r="C13" s="54" t="inlineStr">
        <is>
          <t>SpaceX (now public), Anthropic, Waymo, GV/CapitalG</t>
        </is>
      </c>
    </row>
    <row r="14" ht="15" customHeight="1" s="48">
      <c r="B14" s="53" t="inlineStr">
        <is>
          <t>Position vs BRK</t>
        </is>
      </c>
      <c r="C14" s="54" t="inlineStr">
        <is>
          <t>Berkshire's stake against its Q1'26 cash engine</t>
        </is>
      </c>
    </row>
    <row r="15" ht="15" customHeight="1" s="48">
      <c r="B15" s="55" t="inlineStr">
        <is>
          <t>Blue = input  ·  Black = formula  ·  Green = cross-sheet link  ·  Yellow = key assumption. Reported figures from Alphabet 8-K/earnings releases &amp; SEC filings (FY2023-FY2025, Q1 2026). Some balance-sheet sub-lines and the FY2025 expense split are estimates that tie to reported totals (flagged 'est.'); replace with exact 10-K lines before publishing. ROE/ROIC use an estimated equity/tax base. Educational analysis, not investment advice. © 2026 The Baratelli Institute.</t>
        </is>
      </c>
    </row>
    <row r="16" ht="15" customHeight="1" s="48"/>
    <row r="17" ht="15" customHeight="1" s="48"/>
    <row r="18" ht="15" customHeight="1" s="48"/>
  </sheetData>
  <mergeCells count="4">
    <mergeCell ref="A3:F3"/>
    <mergeCell ref="B15:F18"/>
    <mergeCell ref="A1:F1"/>
    <mergeCell ref="A4:F4"/>
  </mergeCell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&amp;L&amp;8 &amp;K3C3F45Cover&amp;R&amp;8 &amp;KC89000BARATELLI INSTITUTE  *  MENTORING AT SCALE</oddHeader>
    <oddFooter>&amp;L&amp;8 &amp;K3C3F45baratelliinstitute.com&amp;C&amp;8 &amp;K3C3F45Page &amp;P of &amp;N&amp;R&amp;8 &amp;K3C3F45Alphabet BR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1"/>
  </sheetPr>
  <dimension ref="A1:F29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30" customWidth="1" style="47" min="1" max="1"/>
    <col width="12" customWidth="1" style="47" min="2" max="5"/>
    <col width="3" customWidth="1" style="47" min="6" max="6"/>
  </cols>
  <sheetData>
    <row r="1" ht="25.5" customHeight="1" s="48">
      <c r="A1" s="56" t="inlineStr">
        <is>
          <t>Income Statement</t>
        </is>
      </c>
    </row>
    <row r="2" ht="15" customHeight="1" s="48">
      <c r="A2" s="57" t="inlineStr">
        <is>
          <t>$ in billions. FY2023-FY2025 reported; Q1 2026 reported. Margins &amp; EBITDA computed.</t>
        </is>
      </c>
    </row>
    <row r="4" ht="24" customHeight="1" s="48">
      <c r="A4" s="58" t="inlineStr">
        <is>
          <t>($B)</t>
        </is>
      </c>
      <c r="B4" s="58" t="inlineStr">
        <is>
          <t>FY2023</t>
        </is>
      </c>
      <c r="C4" s="58" t="inlineStr">
        <is>
          <t>FY2024</t>
        </is>
      </c>
      <c r="D4" s="58" t="inlineStr">
        <is>
          <t>FY2025</t>
        </is>
      </c>
      <c r="E4" s="58" t="inlineStr">
        <is>
          <t>Q1 2026</t>
        </is>
      </c>
    </row>
    <row r="5" ht="15" customHeight="1" s="48">
      <c r="A5" s="53" t="inlineStr">
        <is>
          <t>Revenue</t>
        </is>
      </c>
      <c r="B5" s="59" t="n">
        <v>307.4</v>
      </c>
      <c r="C5" s="59" t="n">
        <v>350</v>
      </c>
      <c r="D5" s="59" t="n">
        <v>402.8</v>
      </c>
      <c r="E5" s="59" t="n">
        <v>109.9</v>
      </c>
    </row>
    <row r="6" ht="15" customHeight="1" s="48">
      <c r="A6" s="60" t="inlineStr">
        <is>
          <t>Cost of revenues</t>
        </is>
      </c>
      <c r="B6" s="59" t="n">
        <v>133.3</v>
      </c>
      <c r="C6" s="59" t="n">
        <v>146.3</v>
      </c>
      <c r="D6" s="59" t="n">
        <v>162.5</v>
      </c>
      <c r="E6" s="61" t="n"/>
    </row>
    <row r="7" ht="15" customHeight="1" s="48">
      <c r="A7" s="53" t="inlineStr">
        <is>
          <t>Gross profit</t>
        </is>
      </c>
      <c r="B7" s="62">
        <f>B5-B6</f>
        <v/>
      </c>
      <c r="C7" s="62">
        <f>C5-C6</f>
        <v/>
      </c>
      <c r="D7" s="62">
        <f>D5-D6</f>
        <v/>
      </c>
      <c r="E7" s="61" t="n"/>
    </row>
    <row r="8" ht="15" customHeight="1" s="48">
      <c r="A8" s="63" t="inlineStr">
        <is>
          <t>Research &amp; development</t>
        </is>
      </c>
      <c r="B8" s="59" t="n">
        <v>45.4</v>
      </c>
      <c r="C8" s="59" t="n">
        <v>49.3</v>
      </c>
      <c r="D8" s="59" t="n">
        <v>61.1</v>
      </c>
      <c r="E8" s="61" t="n"/>
    </row>
    <row r="9" ht="15" customHeight="1" s="48">
      <c r="A9" s="63" t="inlineStr">
        <is>
          <t>Sales &amp; marketing (est.)</t>
        </is>
      </c>
      <c r="B9" s="59" t="n">
        <v>27.9</v>
      </c>
      <c r="C9" s="59" t="n">
        <v>27.8</v>
      </c>
      <c r="D9" s="59" t="n">
        <v>30</v>
      </c>
      <c r="E9" s="61" t="n"/>
    </row>
    <row r="10" ht="15" customHeight="1" s="48">
      <c r="A10" s="63" t="inlineStr">
        <is>
          <t>General &amp; administrative (est.)</t>
        </is>
      </c>
      <c r="B10" s="59" t="n">
        <v>16.4</v>
      </c>
      <c r="C10" s="59" t="n">
        <v>14.2</v>
      </c>
      <c r="D10" s="59" t="n">
        <v>20.2</v>
      </c>
      <c r="E10" s="61" t="n"/>
    </row>
    <row r="11" ht="15" customHeight="1" s="48">
      <c r="A11" s="60" t="inlineStr">
        <is>
          <t>Total operating expenses</t>
        </is>
      </c>
      <c r="B11" s="62">
        <f>B8+B9+B10</f>
        <v/>
      </c>
      <c r="C11" s="62">
        <f>C8+C9+C10</f>
        <v/>
      </c>
      <c r="D11" s="62">
        <f>D8+D9+D10</f>
        <v/>
      </c>
      <c r="E11" s="61" t="n"/>
    </row>
    <row r="12" ht="15" customHeight="1" s="48">
      <c r="A12" s="53" t="inlineStr">
        <is>
          <t>Operating income</t>
        </is>
      </c>
      <c r="B12" s="64">
        <f>B7-B11</f>
        <v/>
      </c>
      <c r="C12" s="64">
        <f>C7-C11</f>
        <v/>
      </c>
      <c r="D12" s="64">
        <f>D7-D11</f>
        <v/>
      </c>
      <c r="E12" s="64">
        <f>109.9*0.361</f>
        <v/>
      </c>
    </row>
    <row r="13" ht="15" customHeight="1" s="48">
      <c r="A13" s="60" t="inlineStr">
        <is>
          <t>Other income / (expense), net</t>
        </is>
      </c>
      <c r="B13" s="59" t="n">
        <v>1.4</v>
      </c>
      <c r="C13" s="59" t="n">
        <v>7.4</v>
      </c>
      <c r="D13" s="59" t="n">
        <v>28.4</v>
      </c>
      <c r="E13" s="61" t="n"/>
    </row>
    <row r="14" ht="15" customHeight="1" s="48">
      <c r="A14" s="53" t="inlineStr">
        <is>
          <t>Pre-tax income</t>
        </is>
      </c>
      <c r="B14" s="62">
        <f>B12+B13</f>
        <v/>
      </c>
      <c r="C14" s="62">
        <f>C12+C13</f>
        <v/>
      </c>
      <c r="D14" s="62">
        <f>D12+D13</f>
        <v/>
      </c>
      <c r="E14" s="61" t="n"/>
    </row>
    <row r="15" ht="15" customHeight="1" s="48">
      <c r="A15" s="60" t="inlineStr">
        <is>
          <t>Income tax expense</t>
        </is>
      </c>
      <c r="B15" s="59" t="n">
        <v>11.9</v>
      </c>
      <c r="C15" s="59" t="n">
        <v>19.7</v>
      </c>
      <c r="D15" s="59" t="n">
        <v>25.2</v>
      </c>
      <c r="E15" s="61" t="n"/>
    </row>
    <row r="16" ht="15" customHeight="1" s="48">
      <c r="A16" s="53" t="inlineStr">
        <is>
          <t>Net income</t>
        </is>
      </c>
      <c r="B16" s="64">
        <f>B14-B15</f>
        <v/>
      </c>
      <c r="C16" s="64">
        <f>C14-C15</f>
        <v/>
      </c>
      <c r="D16" s="64">
        <f>D14-D15</f>
        <v/>
      </c>
      <c r="E16" s="61" t="n"/>
    </row>
    <row r="17" ht="15" customHeight="1" s="48">
      <c r="A17" s="60" t="inlineStr">
        <is>
          <t>Depreciation &amp; amortization</t>
        </is>
      </c>
      <c r="B17" s="59" t="n">
        <v>11.9</v>
      </c>
      <c r="C17" s="59" t="n">
        <v>15.3</v>
      </c>
      <c r="D17" s="59" t="n">
        <v>25</v>
      </c>
      <c r="E17" s="61" t="n"/>
    </row>
    <row r="18" ht="15" customHeight="1" s="48">
      <c r="A18" s="53" t="inlineStr">
        <is>
          <t>EBITDA (op income + D&amp;A)</t>
        </is>
      </c>
      <c r="B18" s="65">
        <f>B12+B17</f>
        <v/>
      </c>
      <c r="C18" s="65">
        <f>C12+C17</f>
        <v/>
      </c>
      <c r="D18" s="65">
        <f>D12+D17</f>
        <v/>
      </c>
      <c r="E18" s="61" t="n"/>
    </row>
    <row r="20" ht="15" customHeight="1" s="48">
      <c r="A20" s="60" t="inlineStr">
        <is>
          <t>Operating margin</t>
        </is>
      </c>
      <c r="B20" s="66">
        <f>B12/B5</f>
        <v/>
      </c>
      <c r="C20" s="66">
        <f>C12/C5</f>
        <v/>
      </c>
      <c r="D20" s="66">
        <f>D12/D5</f>
        <v/>
      </c>
      <c r="E20" s="66">
        <f>0.361</f>
        <v/>
      </c>
    </row>
    <row r="21" ht="15" customHeight="1" s="48">
      <c r="A21" s="60" t="inlineStr">
        <is>
          <t>Net margin</t>
        </is>
      </c>
      <c r="B21" s="66">
        <f>B16/B5</f>
        <v/>
      </c>
      <c r="C21" s="66">
        <f>C16/C5</f>
        <v/>
      </c>
      <c r="D21" s="66">
        <f>D16/D5</f>
        <v/>
      </c>
      <c r="E21" s="61" t="n"/>
    </row>
    <row r="22" ht="15" customHeight="1" s="48">
      <c r="A22" s="60" t="inlineStr">
        <is>
          <t>EBITDA margin</t>
        </is>
      </c>
      <c r="B22" s="66">
        <f>B18/B5</f>
        <v/>
      </c>
      <c r="C22" s="66">
        <f>C18/C5</f>
        <v/>
      </c>
      <c r="D22" s="66">
        <f>D18/D5</f>
        <v/>
      </c>
      <c r="E22" s="61" t="n"/>
    </row>
    <row r="23" ht="15" customHeight="1" s="48">
      <c r="A23" s="60" t="inlineStr">
        <is>
          <t>Effective tax rate</t>
        </is>
      </c>
      <c r="B23" s="66">
        <f>B15/B14</f>
        <v/>
      </c>
      <c r="C23" s="66">
        <f>C15/C14</f>
        <v/>
      </c>
      <c r="D23" s="66">
        <f>D15/D14</f>
        <v/>
      </c>
      <c r="E23" s="61" t="n"/>
    </row>
    <row r="24" ht="15" customHeight="1" s="48">
      <c r="A24" s="60" t="inlineStr">
        <is>
          <t>Revenue growth YoY</t>
        </is>
      </c>
      <c r="B24" s="61" t="n"/>
      <c r="C24" s="66">
        <f>C5/B5-1</f>
        <v/>
      </c>
      <c r="D24" s="66">
        <f>D5/C5-1</f>
        <v/>
      </c>
      <c r="E24" s="61" t="n"/>
    </row>
    <row r="26" ht="15" customHeight="1" s="48">
      <c r="A26" s="67" t="inlineStr">
        <is>
          <t>Q1 2026 revenue $109.9B (+22% YoY); operating margin ~36.1%. FY2025: revenue $402.8B (+15%), operating income $129.0B, net income $132.2B (+32%). S&amp;M, G&amp;A and D&amp;A are estimates that tie to reported gross/operating income; replace with exact 10-K lines before publishing. Sources: Alphabet FY2024 &amp; FY2025 8-K earnings releases; Q1 2026 release.</t>
        </is>
      </c>
    </row>
    <row r="27" ht="15" customHeight="1" s="48"/>
    <row r="28" ht="15" customHeight="1" s="48"/>
    <row r="29" ht="15" customHeight="1" s="48"/>
  </sheetData>
  <mergeCells count="3">
    <mergeCell ref="A2:F2"/>
    <mergeCell ref="A26:F29"/>
    <mergeCell ref="A1:F1"/>
  </mergeCell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&amp;L&amp;8 &amp;K3C3F45Income Statement&amp;R&amp;8 &amp;KC89000BARATELLI INSTITUTE  *  MENTORING AT SCALE</oddHeader>
    <oddFooter>&amp;L&amp;8 &amp;K3C3F45baratelliinstitute.com&amp;C&amp;8 &amp;K3C3F45Page &amp;P of &amp;N&amp;R&amp;8 &amp;K3C3F45Alphabet BR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1"/>
  </sheetPr>
  <dimension ref="A1:E29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38" customWidth="1" style="47" min="1" max="1"/>
    <col width="13" customWidth="1" style="47" min="2" max="3"/>
    <col width="40" customWidth="1" style="47" min="4" max="4"/>
    <col width="3" customWidth="1" style="47" min="5" max="5"/>
  </cols>
  <sheetData>
    <row r="1" ht="25.5" customHeight="1" s="48">
      <c r="A1" s="56" t="inlineStr">
        <is>
          <t>Balance Sheet (Condensed)</t>
        </is>
      </c>
    </row>
    <row r="2" ht="15" customHeight="1" s="48">
      <c r="A2" s="57" t="inlineStr">
        <is>
          <t>$ in billions. Reported cash, debt &amp; net cash; sub-lines est. to reported totals.</t>
        </is>
      </c>
    </row>
    <row r="4" ht="24" customHeight="1" s="48">
      <c r="A4" s="58" t="inlineStr">
        <is>
          <t>($B)</t>
        </is>
      </c>
      <c r="B4" s="58" t="inlineStr">
        <is>
          <t>FY2024</t>
        </is>
      </c>
      <c r="C4" s="58" t="inlineStr">
        <is>
          <t>FY2025</t>
        </is>
      </c>
      <c r="D4" s="58" t="inlineStr">
        <is>
          <t>Note</t>
        </is>
      </c>
    </row>
    <row r="5" ht="15" customHeight="1" s="48">
      <c r="A5" s="53" t="inlineStr">
        <is>
          <t>ASSETS</t>
        </is>
      </c>
    </row>
    <row r="6" ht="15" customHeight="1" s="48">
      <c r="A6" s="60" t="inlineStr">
        <is>
          <t>Cash &amp; marketable securities</t>
        </is>
      </c>
      <c r="B6" s="59" t="n">
        <v>95.7</v>
      </c>
      <c r="C6" s="59" t="n">
        <v>126.8</v>
      </c>
      <c r="D6" s="68" t="inlineStr">
        <is>
          <t>Reported; core of the fortress</t>
        </is>
      </c>
    </row>
    <row r="7" ht="15" customHeight="1" s="48">
      <c r="A7" s="60" t="inlineStr">
        <is>
          <t>Accounts receivable, net (est.)</t>
        </is>
      </c>
      <c r="B7" s="59" t="n">
        <v>52.3</v>
      </c>
      <c r="C7" s="59" t="n">
        <v>58</v>
      </c>
      <c r="D7" s="68" t="inlineStr">
        <is>
          <t>est.</t>
        </is>
      </c>
    </row>
    <row r="8" ht="15" customHeight="1" s="48">
      <c r="A8" s="60" t="inlineStr">
        <is>
          <t>Other current assets (est.)</t>
        </is>
      </c>
      <c r="B8" s="59" t="n">
        <v>13.4</v>
      </c>
      <c r="C8" s="59" t="n">
        <v>15</v>
      </c>
      <c r="D8" s="68" t="inlineStr">
        <is>
          <t>est.</t>
        </is>
      </c>
    </row>
    <row r="9" ht="15" customHeight="1" s="48">
      <c r="A9" s="60" t="inlineStr">
        <is>
          <t>Property &amp; equipment, net (est.)</t>
        </is>
      </c>
      <c r="B9" s="59" t="n">
        <v>171</v>
      </c>
      <c r="C9" s="59" t="n">
        <v>232</v>
      </c>
      <c r="D9" s="68" t="inlineStr">
        <is>
          <t>Surging on AI data-center capex</t>
        </is>
      </c>
    </row>
    <row r="10" ht="15" customHeight="1" s="48">
      <c r="A10" s="60" t="inlineStr">
        <is>
          <t>Non-marketable investments (est.)</t>
        </is>
      </c>
      <c r="B10" s="59" t="n">
        <v>41</v>
      </c>
      <c r="C10" s="59" t="n">
        <v>48</v>
      </c>
      <c r="D10" s="68" t="inlineStr">
        <is>
          <t>Incl. venture stakes at/near cost</t>
        </is>
      </c>
    </row>
    <row r="11" ht="15" customHeight="1" s="48">
      <c r="A11" s="60" t="inlineStr">
        <is>
          <t>Goodwill, intangibles &amp; other (est.)</t>
        </is>
      </c>
      <c r="B11" s="59" t="n">
        <v>60</v>
      </c>
      <c r="C11" s="59" t="n">
        <v>65</v>
      </c>
      <c r="D11" s="68" t="inlineStr">
        <is>
          <t>est.</t>
        </is>
      </c>
    </row>
    <row r="12" ht="15" customHeight="1" s="48">
      <c r="A12" s="53" t="inlineStr">
        <is>
          <t>Total assets</t>
        </is>
      </c>
      <c r="B12" s="62">
        <f>SUM(B6:B11)</f>
        <v/>
      </c>
      <c r="C12" s="62">
        <f>SUM(C6:C11)</f>
        <v/>
      </c>
      <c r="D12" s="61" t="n"/>
    </row>
    <row r="14" ht="15" customHeight="1" s="48">
      <c r="A14" s="53" t="inlineStr">
        <is>
          <t>LIABILITIES &amp; EQUITY</t>
        </is>
      </c>
    </row>
    <row r="15" ht="15" customHeight="1" s="48">
      <c r="A15" s="60" t="inlineStr">
        <is>
          <t>Accounts payable &amp; accrued (est.)</t>
        </is>
      </c>
      <c r="B15" s="59" t="n">
        <v>75</v>
      </c>
      <c r="C15" s="59" t="n">
        <v>85</v>
      </c>
      <c r="D15" s="68" t="inlineStr">
        <is>
          <t>est.</t>
        </is>
      </c>
    </row>
    <row r="16" ht="15" customHeight="1" s="48">
      <c r="A16" s="60" t="inlineStr">
        <is>
          <t>Total debt</t>
        </is>
      </c>
      <c r="B16" s="59" t="n">
        <v>13.2</v>
      </c>
      <c r="C16" s="59" t="n">
        <v>46.5</v>
      </c>
      <c r="D16" s="68" t="inlineStr">
        <is>
          <t>Reported; bond issuance lifted 2025</t>
        </is>
      </c>
    </row>
    <row r="17" ht="15" customHeight="1" s="48">
      <c r="A17" s="60" t="inlineStr">
        <is>
          <t>Other long-term liabilities (est.)</t>
        </is>
      </c>
      <c r="B17" s="59" t="n">
        <v>40</v>
      </c>
      <c r="C17" s="59" t="n">
        <v>45</v>
      </c>
      <c r="D17" s="68" t="inlineStr">
        <is>
          <t>Leases, deferred tax, etc. (est.)</t>
        </is>
      </c>
    </row>
    <row r="18" ht="15" customHeight="1" s="48">
      <c r="A18" s="53" t="inlineStr">
        <is>
          <t>Total liabilities</t>
        </is>
      </c>
      <c r="B18" s="62">
        <f>SUM(B15:B17)</f>
        <v/>
      </c>
      <c r="C18" s="62">
        <f>SUM(C15:C17)</f>
        <v/>
      </c>
      <c r="D18" s="61" t="n"/>
    </row>
    <row r="19" ht="15" customHeight="1" s="48">
      <c r="A19" s="53" t="inlineStr">
        <is>
          <t>Stockholders' equity (plug)</t>
        </is>
      </c>
      <c r="B19" s="62">
        <f>B12-B18</f>
        <v/>
      </c>
      <c r="C19" s="62">
        <f>C12-C18</f>
        <v/>
      </c>
      <c r="D19" s="69" t="inlineStr">
        <is>
          <t>(total assets less total liabilities)</t>
        </is>
      </c>
    </row>
    <row r="21" ht="15" customHeight="1" s="48">
      <c r="A21" s="53" t="inlineStr">
        <is>
          <t>Net cash (cash &amp; securities - total debt)</t>
        </is>
      </c>
      <c r="B21" s="64">
        <f>B6-B16</f>
        <v/>
      </c>
      <c r="C21" s="64">
        <f>C6-C16</f>
        <v/>
      </c>
      <c r="D21" s="70" t="inlineStr">
        <is>
          <t>The fortress: still ~$80B net cash despite record capex</t>
        </is>
      </c>
    </row>
    <row r="23" ht="15" customHeight="1" s="48">
      <c r="A23" s="53" t="inlineStr">
        <is>
          <t>Net debt (total debt - cash &amp; securities)</t>
        </is>
      </c>
      <c r="B23" s="64">
        <f>B16-B6</f>
        <v/>
      </c>
      <c r="C23" s="64">
        <f>C16-C6</f>
        <v/>
      </c>
      <c r="D23" s="69" t="inlineStr">
        <is>
          <t>Negative = net cash position (debt below cash)</t>
        </is>
      </c>
    </row>
    <row r="24" ht="15" customHeight="1" s="48">
      <c r="A24" s="53" t="inlineStr">
        <is>
          <t>Net debt / EBITDA (leverage)</t>
        </is>
      </c>
      <c r="B24" s="71">
        <f>B23/'Income Statement'!C18</f>
        <v/>
      </c>
      <c r="C24" s="71">
        <f>C23/'Income Statement'!D18</f>
        <v/>
      </c>
      <c r="D24" s="70" t="inlineStr">
        <is>
          <t>Negative leverage = net cash; Alphabet carries no net debt</t>
        </is>
      </c>
    </row>
    <row r="26" ht="15" customHeight="1" s="48">
      <c r="A26" s="67" t="inlineStr">
        <is>
          <t>Only cash &amp; marketable securities ($126.8B) and total debt ($46.5B) — and therefore net cash (~$80.3B) — are reported figures. Net debt / EBITDA is negative in both years because cash &amp; securities exceed total debt: Alphabet runs with negative net leverage (i.e. net cash). Receivables, PP&amp;E, payables, other lines and the equity plug are estimates calibrated to reported totals; replace with exact FY2025 10-K balance sheet before publishing. The point stands on the reported lines: Alphabet runs a net-cash balance sheet at ~$4.5T market value.</t>
        </is>
      </c>
    </row>
    <row r="27" ht="15" customHeight="1" s="48"/>
    <row r="28" ht="15" customHeight="1" s="48"/>
    <row r="29" ht="15" customHeight="1" s="48"/>
  </sheetData>
  <mergeCells count="3">
    <mergeCell ref="A2:E2"/>
    <mergeCell ref="A1:E1"/>
    <mergeCell ref="A26:E29"/>
  </mergeCell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&amp;L&amp;8 &amp;K3C3F45Balance Sheet&amp;R&amp;8 &amp;KC89000BARATELLI INSTITUTE  *  MENTORING AT SCALE</oddHeader>
    <oddFooter>&amp;L&amp;8 &amp;K3C3F45baratelliinstitute.com&amp;C&amp;8 &amp;K3C3F45Page &amp;P of &amp;N&amp;R&amp;8 &amp;K3C3F45Alphabet BR</oddFooter>
    <evenHeader/>
    <evenFooter/>
    <firstHeader/>
    <firstFooter/>
  </headerFooter>
</worksheet>
</file>

<file path=xl/worksheets/sheet5.xml><?xml version="1.0" encoding="utf-8"?>
<worksheet xmlns="http://schemas.openxmlformats.org/spreadsheetml/2006/main">
  <sheetPr filterMode="0">
    <outlinePr summaryBelow="1" summaryRight="1"/>
    <pageSetUpPr fitToPage="1"/>
  </sheetPr>
  <dimension ref="A1:E22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38" customWidth="1" style="47" min="1" max="1"/>
    <col width="13" customWidth="1" style="47" min="2" max="4"/>
    <col width="3" customWidth="1" style="47" min="5" max="5"/>
  </cols>
  <sheetData>
    <row r="1" ht="25.5" customHeight="1" s="48">
      <c r="A1" s="56" t="inlineStr">
        <is>
          <t>Cash Flow Statement (Condensed)</t>
        </is>
      </c>
    </row>
    <row r="2" ht="15" customHeight="1" s="48">
      <c r="A2" s="57" t="inlineStr">
        <is>
          <t>$ in billions. FY2023-FY2025. Free cash flow &amp; capital returns.</t>
        </is>
      </c>
    </row>
    <row r="4" ht="24" customHeight="1" s="48">
      <c r="A4" s="58" t="inlineStr">
        <is>
          <t>($B)</t>
        </is>
      </c>
      <c r="B4" s="58" t="inlineStr">
        <is>
          <t>FY2023</t>
        </is>
      </c>
      <c r="C4" s="58" t="inlineStr">
        <is>
          <t>FY2024</t>
        </is>
      </c>
      <c r="D4" s="58" t="inlineStr">
        <is>
          <t>FY2025</t>
        </is>
      </c>
    </row>
    <row r="5" ht="15" customHeight="1" s="48">
      <c r="A5" s="53" t="inlineStr">
        <is>
          <t>Net income</t>
        </is>
      </c>
      <c r="B5" s="59" t="n">
        <v>73.8</v>
      </c>
      <c r="C5" s="59" t="n">
        <v>100.1</v>
      </c>
      <c r="D5" s="59" t="n">
        <v>132.2</v>
      </c>
    </row>
    <row r="6" ht="15" customHeight="1" s="48">
      <c r="A6" s="63" t="inlineStr">
        <is>
          <t>D&amp;A</t>
        </is>
      </c>
      <c r="B6" s="59" t="n">
        <v>11.9</v>
      </c>
      <c r="C6" s="59" t="n">
        <v>15.3</v>
      </c>
      <c r="D6" s="59" t="n">
        <v>25</v>
      </c>
    </row>
    <row r="7" ht="15" customHeight="1" s="48">
      <c r="A7" s="63" t="inlineStr">
        <is>
          <t>Stock-based compensation (est.)</t>
        </is>
      </c>
      <c r="B7" s="59" t="n">
        <v>22.5</v>
      </c>
      <c r="C7" s="59" t="n">
        <v>24.4</v>
      </c>
      <c r="D7" s="59" t="n">
        <v>26</v>
      </c>
    </row>
    <row r="8" ht="15" customHeight="1" s="48">
      <c r="A8" s="63" t="inlineStr">
        <is>
          <t>Other non-cash &amp; working capital (est.)</t>
        </is>
      </c>
      <c r="B8" s="59" t="n">
        <v>-6.5</v>
      </c>
      <c r="C8" s="59" t="n">
        <v>-14.5</v>
      </c>
      <c r="D8" s="59" t="n">
        <v>-20.2</v>
      </c>
    </row>
    <row r="9" ht="15" customHeight="1" s="48">
      <c r="A9" s="53" t="inlineStr">
        <is>
          <t>Operating cash flow</t>
        </is>
      </c>
      <c r="B9" s="62">
        <f>B5+B6+B7+B8</f>
        <v/>
      </c>
      <c r="C9" s="62">
        <f>C5+C6+C7+C8</f>
        <v/>
      </c>
      <c r="D9" s="62">
        <f>D5+D6+D7+D8</f>
        <v/>
      </c>
    </row>
    <row r="10" ht="15" customHeight="1" s="48">
      <c r="A10" s="63" t="inlineStr">
        <is>
          <t>Capital expenditures</t>
        </is>
      </c>
      <c r="B10" s="59" t="n">
        <v>-32.3</v>
      </c>
      <c r="C10" s="59" t="n">
        <v>-52.5</v>
      </c>
      <c r="D10" s="59" t="n">
        <v>-89.7</v>
      </c>
    </row>
    <row r="11" ht="15" customHeight="1" s="48">
      <c r="A11" s="53" t="inlineStr">
        <is>
          <t>Free cash flow</t>
        </is>
      </c>
      <c r="B11" s="64">
        <f>B9+B10</f>
        <v/>
      </c>
      <c r="C11" s="64">
        <f>C9+C10</f>
        <v/>
      </c>
      <c r="D11" s="64">
        <f>D9+D10</f>
        <v/>
      </c>
    </row>
    <row r="13" ht="15" customHeight="1" s="48">
      <c r="A13" s="63" t="inlineStr">
        <is>
          <t>Share repurchases</t>
        </is>
      </c>
      <c r="B13" s="59" t="n">
        <v>-61.5</v>
      </c>
      <c r="C13" s="59" t="n">
        <v>-62.2</v>
      </c>
      <c r="D13" s="59" t="n">
        <v>-45.7</v>
      </c>
    </row>
    <row r="14" ht="15" customHeight="1" s="48">
      <c r="A14" s="63" t="inlineStr">
        <is>
          <t>Dividends paid</t>
        </is>
      </c>
      <c r="B14" s="59" t="n">
        <v>0</v>
      </c>
      <c r="C14" s="59" t="n">
        <v>-7.4</v>
      </c>
      <c r="D14" s="59" t="n">
        <v>-10</v>
      </c>
    </row>
    <row r="15" ht="15" customHeight="1" s="48">
      <c r="A15" s="53" t="inlineStr">
        <is>
          <t>Total capital returned</t>
        </is>
      </c>
      <c r="B15" s="62">
        <f>-(B13+B14)</f>
        <v/>
      </c>
      <c r="C15" s="62">
        <f>-(C13+C14)</f>
        <v/>
      </c>
      <c r="D15" s="62">
        <f>-(D13+D14)</f>
        <v/>
      </c>
    </row>
    <row r="16" ht="15" customHeight="1" s="48">
      <c r="A16" s="53" t="inlineStr">
        <is>
          <t>FCF margin (FCF / revenue)</t>
        </is>
      </c>
      <c r="B16" s="72">
        <f>B11/307.4</f>
        <v/>
      </c>
      <c r="C16" s="72">
        <f>C11/350</f>
        <v/>
      </c>
      <c r="D16" s="72">
        <f>D11/402.8</f>
        <v/>
      </c>
    </row>
    <row r="17" ht="15" customHeight="1" s="48">
      <c r="A17" s="60" t="inlineStr">
        <is>
          <t>Capital returned / FCF</t>
        </is>
      </c>
      <c r="B17" s="66">
        <f>B15/B11</f>
        <v/>
      </c>
      <c r="C17" s="66">
        <f>C15/C11</f>
        <v/>
      </c>
      <c r="D17" s="66">
        <f>D15/D11</f>
        <v/>
      </c>
    </row>
    <row r="19" ht="15" customHeight="1" s="48">
      <c r="A19" s="67" t="inlineStr">
        <is>
          <t>Reported anchors: operating cash flow $101.7B / $125.3B / ~$163B; capex $32.3B / $52.5B / ~$89.7B; free cash flow ~$69-73B across the period — capex is consuming a rising share of OCF as AI infrastructure scales. SBC, working capital and FY2025 OCF/capex are estimates that tie to reported FCF; replace with 10-K cash-flow statement before publishing. Sources: Alphabet 10-K FY2023/FY2024, FY2025 earnings release.</t>
        </is>
      </c>
    </row>
    <row r="20" ht="15" customHeight="1" s="48"/>
    <row r="21" ht="15" customHeight="1" s="48"/>
    <row r="22" ht="15" customHeight="1" s="48"/>
  </sheetData>
  <mergeCells count="3">
    <mergeCell ref="A2:E2"/>
    <mergeCell ref="A1:E1"/>
    <mergeCell ref="A19:E22"/>
  </mergeCell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&amp;L&amp;8 &amp;K3C3F45Cash Flow Statement&amp;R&amp;8 &amp;KC89000BARATELLI INSTITUTE  *  MENTORING AT SCALE</oddHeader>
    <oddFooter>&amp;L&amp;8 &amp;K3C3F45baratelliinstitute.com&amp;C&amp;8 &amp;K3C3F45Page &amp;P of &amp;N&amp;R&amp;8 &amp;K3C3F45Alphabet BR</oddFooter>
    <evenHeader/>
    <evenFooter/>
    <firstHeader/>
    <firstFooter/>
  </headerFooter>
</worksheet>
</file>

<file path=xl/worksheets/sheet6.xml><?xml version="1.0" encoding="utf-8"?>
<worksheet xmlns="http://schemas.openxmlformats.org/spreadsheetml/2006/main">
  <sheetPr filterMode="0">
    <outlinePr summaryBelow="1" summaryRight="1"/>
    <pageSetUpPr fitToPage="1"/>
  </sheetPr>
  <dimension ref="A1:E15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48" customWidth="1" style="47" min="1" max="1"/>
    <col width="12" customWidth="1" style="47" min="2" max="3"/>
    <col width="9" customWidth="1" style="47" min="4" max="4"/>
    <col width="50" customWidth="1" style="47" min="5" max="5"/>
  </cols>
  <sheetData>
    <row r="1" ht="25.5" customHeight="1" s="48">
      <c r="A1" s="56" t="inlineStr">
        <is>
          <t>Segments — FY2025 revenue by reportable segment (10-K)</t>
        </is>
      </c>
    </row>
    <row r="2" ht="15" customHeight="1" s="48">
      <c r="A2" s="57" t="inlineStr">
        <is>
          <t>$ in billions. The three reportable segments Alphabet discloses in its FY2025 Form 10-K.</t>
        </is>
      </c>
    </row>
    <row r="4" ht="24" customHeight="1" s="48">
      <c r="A4" s="58" t="inlineStr">
        <is>
          <t>Segment</t>
        </is>
      </c>
      <c r="B4" s="58" t="inlineStr">
        <is>
          <t>FY2025 rev</t>
        </is>
      </c>
      <c r="C4" s="58" t="inlineStr">
        <is>
          <t>FY2024 rev</t>
        </is>
      </c>
      <c r="D4" s="58" t="inlineStr">
        <is>
          <t>YoY</t>
        </is>
      </c>
      <c r="E4" s="58" t="inlineStr">
        <is>
          <t>Note</t>
        </is>
      </c>
    </row>
    <row r="5" ht="15" customHeight="1" s="48">
      <c r="A5" s="53" t="inlineStr">
        <is>
          <t>Google Services</t>
        </is>
      </c>
      <c r="B5" s="59" t="n">
        <v>342.7</v>
      </c>
      <c r="C5" s="59" t="n">
        <v>304.9</v>
      </c>
      <c r="D5" s="66">
        <f>B5/C5-1</f>
        <v/>
      </c>
      <c r="E5" s="73" t="inlineStr">
        <is>
          <t>Search, YouTube ads, subscriptions/platforms/devices, Network — bulk of revenue &amp; nearly all profit</t>
        </is>
      </c>
    </row>
    <row r="6" ht="15" customHeight="1" s="48">
      <c r="A6" s="63" t="inlineStr">
        <is>
          <t xml:space="preserve">  - of which YouTube ads</t>
        </is>
      </c>
      <c r="B6" s="59" t="n">
        <v>40.4</v>
      </c>
      <c r="C6" s="59" t="n">
        <v>36.1</v>
      </c>
      <c r="D6" s="61" t="n"/>
      <c r="E6" s="73" t="inlineStr">
        <is>
          <t>YouTube advertising only; +12%</t>
        </is>
      </c>
    </row>
    <row r="7" ht="15" customHeight="1" s="48">
      <c r="A7" s="63" t="inlineStr">
        <is>
          <t xml:space="preserve">  - of which subscriptions, platforms &amp; devices</t>
        </is>
      </c>
      <c r="B7" s="59" t="n">
        <v>58</v>
      </c>
      <c r="C7" s="59" t="n">
        <v>49.1</v>
      </c>
      <c r="D7" s="61" t="n"/>
      <c r="E7" s="73" t="inlineStr">
        <is>
          <t>YouTube/Google One/Play/Pixel; YouTube total (ads+subs) &gt;$60B</t>
        </is>
      </c>
    </row>
    <row r="8" ht="15" customHeight="1" s="48">
      <c r="A8" s="53" t="inlineStr">
        <is>
          <t>Google Cloud</t>
        </is>
      </c>
      <c r="B8" s="59" t="n">
        <v>58.7</v>
      </c>
      <c r="C8" s="59" t="n">
        <v>43.2</v>
      </c>
      <c r="D8" s="66">
        <f>B8/C8-1</f>
        <v/>
      </c>
      <c r="E8" s="73" t="inlineStr">
        <is>
          <t>+36% FY25; Q1'26 ~$20.0B (+63%); operating margin ~33%</t>
        </is>
      </c>
    </row>
    <row r="9" ht="15" customHeight="1" s="48">
      <c r="A9" s="53" t="inlineStr">
        <is>
          <t>Other Bets</t>
        </is>
      </c>
      <c r="B9" s="59" t="n">
        <v>1.5</v>
      </c>
      <c r="C9" s="59" t="n">
        <v>1.7</v>
      </c>
      <c r="D9" s="66">
        <f>B9/C9-1</f>
        <v/>
      </c>
      <c r="E9" s="73" t="inlineStr">
        <is>
          <t>Pre-revenue moonshots; Waymo the standout (−7% YoY)</t>
        </is>
      </c>
    </row>
    <row r="10" ht="15" customHeight="1" s="48">
      <c r="A10" s="53" t="inlineStr">
        <is>
          <t>Hedging gains / other</t>
        </is>
      </c>
      <c r="B10" s="59" t="n">
        <v>1.9</v>
      </c>
      <c r="C10" s="59" t="n">
        <v>0.2</v>
      </c>
      <c r="D10" s="66">
        <f>B10/C10-1</f>
        <v/>
      </c>
      <c r="E10" s="73" t="inlineStr">
        <is>
          <t>Foreign-exchange hedging gains</t>
        </is>
      </c>
    </row>
    <row r="11" ht="15" customHeight="1" s="48">
      <c r="A11" s="53" t="inlineStr">
        <is>
          <t>Total Alphabet revenue</t>
        </is>
      </c>
      <c r="B11" s="62">
        <f>B5+B8+B9+B10</f>
        <v/>
      </c>
      <c r="C11" s="62">
        <f>C5+C8+C9+C10</f>
        <v/>
      </c>
      <c r="D11" s="66">
        <f>B11/C11-1</f>
        <v/>
      </c>
      <c r="E11" s="74" t="inlineStr">
        <is>
          <t>Sum of Google Services + Google Cloud + Other Bets + hedging</t>
        </is>
      </c>
    </row>
    <row r="13" ht="15" customHeight="1" s="48">
      <c r="A13" s="67" t="inlineStr">
        <is>
          <t>Alphabet reports three reportable segments in its FY2025 Form 10-K: Google Services (~$342.7B), Google Cloud (~$58.7B), and Other Bets (~$1.5B), plus hedging gains, totaling ~$402.8B. The YouTube ad and subscriptions/platforms/devices lines are sub-components of Google Services (not separate reportable segments), shown for the reader. FY2024 comparatives shown for growth. Re-tie to the exact 10-K segment footnote before publishing.</t>
        </is>
      </c>
    </row>
    <row r="14" ht="15" customHeight="1" s="48"/>
    <row r="15" ht="15" customHeight="1" s="48"/>
  </sheetData>
  <mergeCells count="3">
    <mergeCell ref="A2:E2"/>
    <mergeCell ref="A1:E1"/>
    <mergeCell ref="A13:E15"/>
  </mergeCell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&amp;L&amp;8 &amp;K3C3F45Segments&amp;R&amp;8 &amp;KC89000BARATELLI INSTITUTE  *  MENTORING AT SCALE</oddHeader>
    <oddFooter>&amp;L&amp;8 &amp;K3C3F45baratelliinstitute.com&amp;C&amp;8 &amp;K3C3F45Page &amp;P of &amp;N&amp;R&amp;8 &amp;K3C3F45Alphabet BR</oddFooter>
    <evenHeader/>
    <evenFooter/>
    <firstHeader/>
    <firstFooter/>
  </headerFooter>
</worksheet>
</file>

<file path=xl/worksheets/sheet7.xml><?xml version="1.0" encoding="utf-8"?>
<worksheet xmlns="http://schemas.openxmlformats.org/spreadsheetml/2006/main">
  <sheetPr filterMode="0">
    <outlinePr summaryBelow="1" summaryRight="1"/>
    <pageSetUpPr fitToPage="1"/>
  </sheetPr>
  <dimension ref="A1:F17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26" customWidth="1" style="47" min="1" max="1"/>
    <col width="15" customWidth="1" style="47" min="2" max="2"/>
    <col width="12" customWidth="1" style="47" min="3" max="5"/>
    <col width="40" customWidth="1" style="47" min="6" max="6"/>
  </cols>
  <sheetData>
    <row r="1" ht="25.5" customHeight="1" s="48">
      <c r="A1" s="56" t="inlineStr">
        <is>
          <t>Valuation vs Big Tech</t>
        </is>
      </c>
    </row>
    <row r="2" ht="15" customHeight="1" s="48">
      <c r="A2" s="57" t="inlineStr">
        <is>
          <t>Approx. June 2026 market data. P/E and EV/EBITDA — how Alphabet's entry multiple compares.</t>
        </is>
      </c>
    </row>
    <row r="4" ht="24" customHeight="1" s="48">
      <c r="A4" s="58" t="inlineStr">
        <is>
          <t>Company</t>
        </is>
      </c>
      <c r="B4" s="58" t="inlineStr">
        <is>
          <t>Market cap ($T)</t>
        </is>
      </c>
      <c r="C4" s="58" t="inlineStr">
        <is>
          <t>Trailing P/E</t>
        </is>
      </c>
      <c r="D4" s="58" t="inlineStr">
        <is>
          <t>EV / EBITDA</t>
        </is>
      </c>
      <c r="E4" s="58" t="inlineStr">
        <is>
          <t>Rev. growth</t>
        </is>
      </c>
      <c r="F4" s="58" t="inlineStr">
        <is>
          <t>Note</t>
        </is>
      </c>
    </row>
    <row r="5" ht="15" customHeight="1" s="48">
      <c r="A5" s="60" t="inlineStr">
        <is>
          <t>Nvidia (NVDA)</t>
        </is>
      </c>
      <c r="B5" s="75" t="n">
        <v>5.09</v>
      </c>
      <c r="C5" s="76" t="n">
        <v>32</v>
      </c>
      <c r="D5" s="76" t="n">
        <v>30</v>
      </c>
      <c r="E5" s="77" t="inlineStr">
        <is>
          <t>very high</t>
        </is>
      </c>
      <c r="F5" s="73" t="inlineStr">
        <is>
          <t>AI hardware cycle</t>
        </is>
      </c>
    </row>
    <row r="6" ht="15" customHeight="1" s="48">
      <c r="A6" s="60" t="inlineStr">
        <is>
          <t>Apple (AAPL)</t>
        </is>
      </c>
      <c r="B6" s="75" t="n">
        <v>4.53</v>
      </c>
      <c r="C6" s="76" t="n">
        <v>36</v>
      </c>
      <c r="D6" s="76" t="n">
        <v>27</v>
      </c>
      <c r="E6" s="77" t="inlineStr">
        <is>
          <t>low single</t>
        </is>
      </c>
      <c r="F6" s="73" t="inlineStr">
        <is>
          <t>Slow growth, premium multiple</t>
        </is>
      </c>
    </row>
    <row r="7" ht="15" customHeight="1" s="48">
      <c r="A7" s="78" t="inlineStr">
        <is>
          <t>Alphabet (GOOGL/GOOG)</t>
        </is>
      </c>
      <c r="B7" s="79" t="n">
        <v>4.63</v>
      </c>
      <c r="C7" s="80" t="n">
        <v>29</v>
      </c>
      <c r="D7" s="80" t="n">
        <v>30</v>
      </c>
      <c r="E7" s="81" t="inlineStr">
        <is>
          <t>~+22%</t>
        </is>
      </c>
      <c r="F7" s="82" t="inlineStr">
        <is>
          <t>Net cash, ~40% ROIC, faster growth</t>
        </is>
      </c>
    </row>
    <row r="8" ht="15" customHeight="1" s="48">
      <c r="A8" s="60" t="inlineStr">
        <is>
          <t>Amazon (AMZN)</t>
        </is>
      </c>
      <c r="B8" s="75" t="n">
        <v>2.87</v>
      </c>
      <c r="C8" s="76" t="n">
        <v>35</v>
      </c>
      <c r="D8" s="76" t="n">
        <v>18</v>
      </c>
      <c r="E8" s="77" t="inlineStr">
        <is>
          <t>~+11%</t>
        </is>
      </c>
      <c r="F8" s="73" t="inlineStr">
        <is>
          <t>Retail + AWS</t>
        </is>
      </c>
    </row>
    <row r="9" ht="15" customHeight="1" s="48">
      <c r="A9" s="60" t="inlineStr">
        <is>
          <t>Microsoft (MSFT)</t>
        </is>
      </c>
      <c r="B9" s="75" t="n">
        <v>3.11</v>
      </c>
      <c r="C9" s="76" t="n">
        <v>23</v>
      </c>
      <c r="D9" s="76" t="n">
        <v>17</v>
      </c>
      <c r="E9" s="77" t="inlineStr">
        <is>
          <t>~+14%</t>
        </is>
      </c>
      <c r="F9" s="73" t="inlineStr">
        <is>
          <t>Azure + Copilot</t>
        </is>
      </c>
    </row>
    <row r="10" ht="15" customHeight="1" s="48">
      <c r="A10" s="60" t="inlineStr">
        <is>
          <t>Meta (META)</t>
        </is>
      </c>
      <c r="B10" s="75" t="n">
        <v>1.7</v>
      </c>
      <c r="C10" s="76" t="n">
        <v>25</v>
      </c>
      <c r="D10" s="76" t="n">
        <v>16</v>
      </c>
      <c r="E10" s="77" t="inlineStr">
        <is>
          <t>~+16%</t>
        </is>
      </c>
      <c r="F10" s="73" t="inlineStr">
        <is>
          <t>Ad-duopoly peer</t>
        </is>
      </c>
    </row>
    <row r="12" ht="15" customHeight="1" s="48">
      <c r="A12" s="53" t="inlineStr">
        <is>
          <t>Mega-cap average (ex-Alphabet)</t>
        </is>
      </c>
      <c r="C12" s="83">
        <f>AVERAGE(C5:C6,C8:C10)</f>
        <v/>
      </c>
      <c r="D12" s="83">
        <f>AVERAGE(D5:D6,D8:D10)</f>
        <v/>
      </c>
      <c r="F12" s="84" t="inlineStr">
        <is>
          <t>Alphabet sits mid-pack on P/E and EV/EBITDA</t>
        </is>
      </c>
    </row>
    <row r="14" ht="15" customHeight="1" s="48">
      <c r="A14" s="67" t="inlineStr">
        <is>
          <t>The read: at ~29x trailing earnings and ~30x EV/EBITDA, Alphabet's entry multiple is squarely mid-pack — cheaper than Apple and Nvidia on P/E, in line on EV/EBITDA — while it grows revenue faster (+22% in Q1'26) and carries a net-cash balance sheet. For a ~40%-ROIC compounder a market-average multiple is a rational entry, not a bargain and not an overpayment. EV/EBITDA varies by capex intensity: ad-only peers (MSFT, META) screen lower; heavy-capex AI builders (GOOGL, NVDA) screen higher. Approx. June 2026 figures — verify against live quotes before publishing.</t>
        </is>
      </c>
    </row>
    <row r="15" ht="15" customHeight="1" s="48"/>
    <row r="16" ht="15" customHeight="1" s="48"/>
    <row r="17" ht="15" customHeight="1" s="48"/>
  </sheetData>
  <mergeCells count="3">
    <mergeCell ref="A2:F2"/>
    <mergeCell ref="A14:F17"/>
    <mergeCell ref="A1:F1"/>
  </mergeCell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&amp;L&amp;8 &amp;K3C3F45Valuation vs Big Tech&amp;R&amp;8 &amp;KC89000BARATELLI INSTITUTE  *  MENTORING AT SCALE</oddHeader>
    <oddFooter>&amp;L&amp;8 &amp;K3C3F45baratelliinstitute.com&amp;C&amp;8 &amp;K3C3F45Page &amp;P of &amp;N&amp;R&amp;8 &amp;K3C3F45Alphabet BR</oddFooter>
    <evenHeader/>
    <evenFooter/>
    <firstHeader/>
    <firstFooter/>
  </headerFooter>
</worksheet>
</file>

<file path=xl/worksheets/sheet8.xml><?xml version="1.0" encoding="utf-8"?>
<worksheet xmlns="http://schemas.openxmlformats.org/spreadsheetml/2006/main">
  <sheetPr filterMode="0">
    <outlinePr summaryBelow="1" summaryRight="1"/>
    <pageSetUpPr fitToPage="1"/>
  </sheetPr>
  <dimension ref="A1:D24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42" customWidth="1" style="47" min="1" max="1"/>
    <col width="14" customWidth="1" style="47" min="2" max="2"/>
    <col width="54" customWidth="1" style="47" min="3" max="3"/>
    <col width="3" customWidth="1" style="47" min="4" max="4"/>
  </cols>
  <sheetData>
    <row r="1" ht="25.5" customHeight="1" s="48">
      <c r="A1" s="56" t="inlineStr">
        <is>
          <t>Returns on Capital &amp; Capital Quality</t>
        </is>
      </c>
    </row>
    <row r="2" ht="15" customHeight="1" s="48">
      <c r="A2" s="57" t="inlineStr">
        <is>
          <t>$ in billions. Why a quality buyer pays up — the Berkshire read.</t>
        </is>
      </c>
    </row>
    <row r="5" ht="15" customHeight="1" s="48">
      <c r="A5" s="60" t="inlineStr">
        <is>
          <t>FY2025 operating income</t>
        </is>
      </c>
      <c r="B5" s="59" t="n">
        <v>129</v>
      </c>
    </row>
    <row r="6" ht="15" customHeight="1" s="48">
      <c r="A6" s="60" t="inlineStr">
        <is>
          <t>Assumed cash tax rate</t>
        </is>
      </c>
      <c r="B6" s="85" t="n">
        <v>0.16</v>
      </c>
    </row>
    <row r="7" ht="15" customHeight="1" s="48">
      <c r="A7" s="53" t="inlineStr">
        <is>
          <t>NOPAT (op income x (1 - tax))</t>
        </is>
      </c>
      <c r="B7" s="62">
        <f>B5*(1-B6)</f>
        <v/>
      </c>
    </row>
    <row r="8" ht="15" customHeight="1" s="48">
      <c r="A8" s="60" t="inlineStr">
        <is>
          <t>Stockholders' equity (FY2025, est.)</t>
        </is>
      </c>
      <c r="B8" s="86" t="n">
        <v>360</v>
      </c>
    </row>
    <row r="9" ht="15" customHeight="1" s="48">
      <c r="A9" s="60" t="inlineStr">
        <is>
          <t>Total debt (FY2025)</t>
        </is>
      </c>
      <c r="B9" s="59" t="n">
        <v>46.5</v>
      </c>
    </row>
    <row r="10" ht="15" customHeight="1" s="48">
      <c r="A10" s="60" t="inlineStr">
        <is>
          <t>Cash &amp; marketable securities (FY2025)</t>
        </is>
      </c>
      <c r="B10" s="59" t="n">
        <v>126.8</v>
      </c>
    </row>
    <row r="11" ht="15" customHeight="1" s="48">
      <c r="A11" s="53" t="inlineStr">
        <is>
          <t>Invested capital (equity + debt - cash)</t>
        </is>
      </c>
      <c r="B11" s="62">
        <f>B8+B9-B10</f>
        <v/>
      </c>
    </row>
    <row r="12" ht="15" customHeight="1" s="48">
      <c r="A12" s="53" t="inlineStr">
        <is>
          <t>ROIC (NOPAT / invested capital)</t>
        </is>
      </c>
      <c r="B12" s="72">
        <f>B7/B11</f>
        <v/>
      </c>
      <c r="C12" s="87" t="inlineStr">
        <is>
          <t>Capital-light core earns exceptional returns</t>
        </is>
      </c>
    </row>
    <row r="13" ht="15" customHeight="1" s="48">
      <c r="A13" s="60" t="inlineStr">
        <is>
          <t>FY2025 net income</t>
        </is>
      </c>
      <c r="B13" s="59" t="n">
        <v>132.2</v>
      </c>
    </row>
    <row r="14" ht="15" customHeight="1" s="48">
      <c r="A14" s="53" t="inlineStr">
        <is>
          <t>ROE (net income / equity)</t>
        </is>
      </c>
      <c r="B14" s="72">
        <f>B13/B8</f>
        <v/>
      </c>
    </row>
    <row r="15" ht="15" customHeight="1" s="48">
      <c r="A15" s="60" t="inlineStr">
        <is>
          <t>FY2025 free cash flow</t>
        </is>
      </c>
      <c r="B15" s="59" t="n">
        <v>73.3</v>
      </c>
    </row>
    <row r="16" ht="15" customHeight="1" s="48">
      <c r="A16" s="53" t="inlineStr">
        <is>
          <t>FCF margin (FCF / revenue $402.8B)</t>
        </is>
      </c>
      <c r="B16" s="66">
        <f>B15/402.8</f>
        <v/>
      </c>
    </row>
    <row r="17" ht="15" customHeight="1" s="48">
      <c r="A17" s="53" t="inlineStr">
        <is>
          <t>Net cash position</t>
        </is>
      </c>
      <c r="B17" s="64">
        <f>B10-B9</f>
        <v/>
      </c>
      <c r="C17" s="87" t="inlineStr">
        <is>
          <t>Net-cash balance sheet at ~$4.5T market value</t>
        </is>
      </c>
    </row>
    <row r="19" ht="15" customHeight="1" s="48">
      <c r="A19" s="53" t="inlineStr">
        <is>
          <t>The read</t>
        </is>
      </c>
    </row>
    <row r="20" ht="15" customHeight="1" s="48">
      <c r="A20" s="67" t="inlineStr">
        <is>
          <t>Alphabet pairs ~40% returns on invested capital and ~37% return on equity with a net-cash balance sheet and ~18% free-cash-flow margins. The core advertising and search franchise needs little tangible capital, so incremental dollars compound at high rates while the company still returns ~$50-60B a year to shareholders. For a quality-focused, scale-tolerant buyer like Berkshire, that combination — durable moat, exceptional returns on capital, fortress balance sheet — is exactly the profile worth paying a full price for. ROIC/ROE use an estimated equity and tax base; replace with exact 10-K figures before publishing.</t>
        </is>
      </c>
    </row>
    <row r="21" ht="15" customHeight="1" s="48"/>
    <row r="22" ht="15" customHeight="1" s="48"/>
    <row r="23" ht="15" customHeight="1" s="48"/>
    <row r="24" ht="15" customHeight="1" s="48"/>
  </sheetData>
  <mergeCells count="3">
    <mergeCell ref="A20:D24"/>
    <mergeCell ref="A1:D1"/>
    <mergeCell ref="A2:D2"/>
  </mergeCell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&amp;L&amp;8 &amp;K3C3F45Returns &amp; Capital Quality&amp;R&amp;8 &amp;KC89000BARATELLI INSTITUTE  *  MENTORING AT SCALE</oddHeader>
    <oddFooter>&amp;L&amp;8 &amp;K3C3F45baratelliinstitute.com&amp;C&amp;8 &amp;K3C3F45Page &amp;P of &amp;N&amp;R&amp;8 &amp;K3C3F45Alphabet BR</oddFooter>
    <evenHeader/>
    <evenFooter/>
    <firstHeader/>
    <firstFooter/>
  </headerFooter>
</worksheet>
</file>

<file path=xl/worksheets/sheet9.xml><?xml version="1.0" encoding="utf-8"?>
<worksheet xmlns="http://schemas.openxmlformats.org/spreadsheetml/2006/main">
  <sheetPr filterMode="0">
    <outlinePr summaryBelow="1" summaryRight="1"/>
    <pageSetUpPr fitToPage="1"/>
  </sheetPr>
  <dimension ref="A1:E18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30" customWidth="1" style="47" min="1" max="1"/>
    <col width="16" customWidth="1" style="47" min="2" max="3"/>
    <col width="13" customWidth="1" style="47" min="4" max="4"/>
    <col width="40" customWidth="1" style="47" min="5" max="5"/>
  </cols>
  <sheetData>
    <row r="1" ht="25.5" customHeight="1" s="48">
      <c r="A1" s="56" t="inlineStr">
        <is>
          <t>Venture &amp; Equity Stakes</t>
        </is>
      </c>
    </row>
    <row r="2" ht="15" customHeight="1" s="48">
      <c r="A2" s="57" t="inlineStr">
        <is>
          <t>Reported third-party marks — largely unrealized and mostly not carried at these values on the balance sheet. SpaceX now public (mark-to-market).</t>
        </is>
      </c>
    </row>
    <row r="4" ht="24" customHeight="1" s="48">
      <c r="A4" s="58" t="inlineStr">
        <is>
          <t>Holding</t>
        </is>
      </c>
      <c r="B4" s="58" t="inlineStr">
        <is>
          <t>Alphabet stake</t>
        </is>
      </c>
      <c r="C4" s="58" t="inlineStr">
        <is>
          <t>Company valuation</t>
        </is>
      </c>
      <c r="D4" s="58" t="inlineStr">
        <is>
          <t>Implied value</t>
        </is>
      </c>
      <c r="E4" s="58" t="inlineStr">
        <is>
          <t>Note</t>
        </is>
      </c>
    </row>
    <row r="5" ht="15" customHeight="1" s="48">
      <c r="A5" s="60" t="inlineStr">
        <is>
          <t>SpaceX (entered 2015, $900M)</t>
        </is>
      </c>
      <c r="B5" s="77" t="inlineStr">
        <is>
          <t>~6.1%</t>
        </is>
      </c>
      <c r="C5" s="77" t="inlineStr">
        <is>
          <t>~$2,430B</t>
        </is>
      </c>
      <c r="D5" s="77" t="inlineStr">
        <is>
          <t>~$148B</t>
        </is>
      </c>
      <c r="E5" s="88" t="inlineStr">
        <is>
          <t>Now public (Nasdaq: SPCX); marked daily</t>
        </is>
      </c>
    </row>
    <row r="6" ht="15" customHeight="1" s="48">
      <c r="A6" s="60" t="inlineStr">
        <is>
          <t>Anthropic</t>
        </is>
      </c>
      <c r="B6" s="77" t="inlineStr">
        <is>
          <t>~14% (cap 15%)</t>
        </is>
      </c>
      <c r="C6" s="77" t="inlineStr">
        <is>
          <t>~$965B</t>
        </is>
      </c>
      <c r="D6" s="77" t="inlineStr">
        <is>
          <t>~$135B</t>
        </is>
      </c>
      <c r="E6" s="88" t="inlineStr">
        <is>
          <t>$965B Series H (Apr 2026); unrealized</t>
        </is>
      </c>
    </row>
    <row r="7" ht="15" customHeight="1" s="48">
      <c r="A7" s="60" t="inlineStr">
        <is>
          <t>Waymo (consolidated)</t>
        </is>
      </c>
      <c r="B7" s="77" t="inlineStr">
        <is>
          <t>~80%</t>
        </is>
      </c>
      <c r="C7" s="77" t="inlineStr">
        <is>
          <t>~$126B</t>
        </is>
      </c>
      <c r="D7" s="77" t="inlineStr">
        <is>
          <t>~$101B</t>
        </is>
      </c>
      <c r="E7" s="88" t="inlineStr">
        <is>
          <t>Subsidiary, not a VC minority stake</t>
        </is>
      </c>
    </row>
    <row r="8" ht="15" customHeight="1" s="48">
      <c r="A8" s="60" t="inlineStr">
        <is>
          <t>AST SpaceMobile</t>
        </is>
      </c>
      <c r="B8" s="77" t="inlineStr">
        <is>
          <t>minority</t>
        </is>
      </c>
      <c r="C8" s="77" t="inlineStr">
        <is>
          <t>strategic</t>
        </is>
      </c>
      <c r="D8" s="77" t="inlineStr">
        <is>
          <t>n/a</t>
        </is>
      </c>
      <c r="E8" s="88" t="inlineStr">
        <is>
          <t>Space-based broadband</t>
        </is>
      </c>
    </row>
    <row r="9" ht="15" customHeight="1" s="48">
      <c r="A9" s="60" t="inlineStr">
        <is>
          <t>Planet Labs</t>
        </is>
      </c>
      <c r="B9" s="77" t="inlineStr">
        <is>
          <t>minority</t>
        </is>
      </c>
      <c r="C9" s="77" t="inlineStr">
        <is>
          <t>strategic</t>
        </is>
      </c>
      <c r="D9" s="77" t="inlineStr">
        <is>
          <t>n/a</t>
        </is>
      </c>
      <c r="E9" s="88" t="inlineStr">
        <is>
          <t>Earth-imaging satellites</t>
        </is>
      </c>
    </row>
    <row r="10" ht="15" customHeight="1" s="48">
      <c r="A10" s="60" t="inlineStr">
        <is>
          <t>Apptronik</t>
        </is>
      </c>
      <c r="B10" s="77" t="inlineStr">
        <is>
          <t>minority</t>
        </is>
      </c>
      <c r="C10" s="77" t="inlineStr">
        <is>
          <t>strategic</t>
        </is>
      </c>
      <c r="D10" s="77" t="inlineStr">
        <is>
          <t>n/a</t>
        </is>
      </c>
      <c r="E10" s="88" t="inlineStr">
        <is>
          <t>Humanoid robotics</t>
        </is>
      </c>
    </row>
    <row r="11" ht="15" customHeight="1" s="48">
      <c r="A11" s="60" t="inlineStr">
        <is>
          <t>GV + CapitalG (venture arms)</t>
        </is>
      </c>
      <c r="B11" s="77" t="inlineStr">
        <is>
          <t>portfolio</t>
        </is>
      </c>
      <c r="C11" s="77" t="inlineStr">
        <is>
          <t>book</t>
        </is>
      </c>
      <c r="D11" s="77" t="inlineStr">
        <is>
          <t>n/a</t>
        </is>
      </c>
      <c r="E11" s="88" t="inlineStr">
        <is>
          <t>GV: Harvey, Synthesia; CapitalG: Stripe, Databricks</t>
        </is>
      </c>
    </row>
    <row r="12" ht="15" customHeight="1" s="48">
      <c r="A12" s="78" t="inlineStr">
        <is>
          <t>SpaceX + Anthropic + Waymo</t>
        </is>
      </c>
      <c r="B12" s="89" t="inlineStr">
        <is>
          <t>—</t>
        </is>
      </c>
      <c r="C12" s="89" t="inlineStr">
        <is>
          <t>—</t>
        </is>
      </c>
      <c r="D12" s="89" t="inlineStr">
        <is>
          <t>~$384B</t>
        </is>
      </c>
      <c r="E12" s="88" t="inlineStr">
        <is>
          <t>Three largest stakes, implied value combined</t>
        </is>
      </c>
    </row>
    <row r="14" ht="15" customHeight="1" s="48">
      <c r="A14" s="67" t="inlineStr">
        <is>
          <t>Reported, pre-IPO/private marks (SpaceX now public, marked daily) — volatile and largely unrealized. Important: these are largely NOT carried at these values on Alphabet's balance sheet (non-marketable equity securities held near cost; Waymo is consolidated, not marked-to-market). Alphabet is NOT an investor in OpenAI — OpenAI is backed by Microsoft and is a direct Gemini competitor; Alphabet's comparable AI bet is Anthropic.</t>
        </is>
      </c>
    </row>
    <row r="15" ht="15" customHeight="1" s="48"/>
    <row r="16" ht="15" customHeight="1" s="48"/>
    <row r="17" ht="15" customHeight="1" s="48"/>
    <row r="18" ht="15" customHeight="1" s="48"/>
  </sheetData>
  <mergeCells count="3">
    <mergeCell ref="A2:E2"/>
    <mergeCell ref="A14:E18"/>
    <mergeCell ref="A1:E1"/>
  </mergeCells>
  <printOptions horizontalCentered="1" verticalCentered="0" headings="0" gridLines="0" gridLinesSet="1"/>
  <pageMargins left="0.5" right="0.5" top="0.5" bottom="0.5" header="0.3" footer="0.3"/>
  <pageSetup orientation="landscape" paperSize="1" scale="100" fitToHeight="0" fitToWidth="1" pageOrder="downThenOver" blackAndWhite="0" draft="0" horizontalDpi="300" verticalDpi="300" copies="1"/>
  <headerFooter differentOddEven="0" differentFirst="0">
    <oddHeader>&amp;L&amp;8 &amp;K3C3F45Venture Stakes&amp;R&amp;8 &amp;KC89000BARATELLI INSTITUTE  *  MENTORING AT SCALE</oddHeader>
    <oddFooter>&amp;L&amp;8 &amp;K3C3F45baratelliinstitute.com&amp;C&amp;8 &amp;K3C3F45Page &amp;P of &amp;N&amp;R&amp;8 &amp;K3C3F45Alphabet BR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2026-06-20T12:25:02Z</dcterms:created>
  <dcterms:modified xmlns:dcterms="http://purl.org/dc/terms/" xmlns:xsi="http://www.w3.org/2001/XMLSchema-instance" xsi:type="dcterms:W3CDTF">2026-07-08T20:43:07Z</dcterms:modified>
  <cp:revision>0</cp:revision>
</cp:coreProperties>
</file>