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5.xml" ContentType="application/vnd.openxmlformats-officedocument.spreadsheetml.comment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drawings/vmlDrawing7.vml" ContentType="application/vnd.openxmlformats-officedocument.vmlDrawing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comments8.xml" ContentType="application/vnd.openxmlformats-officedocument.spreadsheetml.comments+xml"/>
  <Override PartName="/xl/theme/theme1.xml" ContentType="application/vnd.openxmlformats-officedocument.theme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Inputs" sheetId="2" state="visible" r:id="rId4"/>
    <sheet name="Comps" sheetId="3" state="visible" r:id="rId5"/>
    <sheet name="9Q Free Cash Flow" sheetId="4" state="visible" r:id="rId6"/>
    <sheet name="Sum of Parts" sheetId="5" state="visible" r:id="rId7"/>
    <sheet name="Debt Schedule" sheetId="6" state="visible" r:id="rId8"/>
    <sheet name="EV-EBITDA Valuation" sheetId="7" state="visible" r:id="rId9"/>
    <sheet name="DCF &amp; Reverse DCF" sheetId="8" state="visible" r:id="rId10"/>
    <sheet name="LBO Sanity Check" sheetId="9" state="visible" r:id="rId11"/>
    <sheet name="Check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Closing price 10/21/2026: $76.11 (stockanalysis.com history; statmuse.com; digrin.com)</t>
        </r>
      </text>
    </comment>
    <comment ref="B7" authorId="0">
      <text>
        <r>
          <rPr>
            <sz val="10"/>
            <rFont val="Arial"/>
            <family val="2"/>
          </rPr>
          <t xml:space="preserve">GM Form 10-Q for the quarter ended 9/30/2026, SEC acc. 0001467858-26-000059, cover page: 843,549,423 shares</t>
        </r>
      </text>
    </comment>
    <comment ref="B10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11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12" authorId="0">
      <text>
        <r>
          <rPr>
            <sz val="10"/>
            <rFont val="Arial"/>
            <family val="2"/>
          </rPr>
          <t xml:space="preserve">GM Form 10-Q for the quarter ended 9/30/2026, SEC acc. 0001467858-26-000059, condensed consolidated balance sheet (automotive current debt)</t>
        </r>
      </text>
    </comment>
    <comment ref="B13" authorId="0">
      <text>
        <r>
          <rPr>
            <sz val="10"/>
            <rFont val="Arial"/>
            <family val="2"/>
          </rPr>
          <t xml:space="preserve">GM Form 10-Q for the quarter ended 9/30/2026, SEC acc. 0001467858-26-000059, balance sheet</t>
        </r>
      </text>
    </comment>
    <comment ref="B17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0001467858-26-000056, GM Financial balance sheet</t>
        </r>
      </text>
    </comment>
    <comment ref="B18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0001467858-26-000056: $42,939 + $70,005</t>
        </r>
      </text>
    </comment>
    <comment ref="B19" authorId="0">
      <text>
        <r>
          <rPr>
            <sz val="10"/>
            <rFont val="Arial"/>
            <family val="2"/>
          </rPr>
          <t xml:space="preserve">Institute assumption: captive valued at book. GMF earns ~$2.6B EBT a year (~12% after-tax ROE), so book is conservative.</t>
        </r>
      </text>
    </comment>
    <comment ref="B22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23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25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26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28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29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31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32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B34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0001467858-26-000056: automotive operating cash flow guidance $17.3B–$20.3B</t>
        </r>
      </text>
    </comment>
    <comment ref="B35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0001467858-26-000056: capital spending $10B–$12B</t>
        </r>
      </text>
    </comment>
    <comment ref="B40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0001467858-26-000056, automotive D&amp;A nine months 2026. Q4 2025 reported D&amp;A ($3,209) includes EV-related impairments and is not used.</t>
        </r>
      </text>
    </comment>
    <comment ref="B45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0001467858-26-000056: $0.18 per share payable 12/17/2026</t>
        </r>
      </text>
    </comment>
    <comment ref="B46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0001467858-26-000056: $20 billion multi-year authorization, no expiration</t>
        </r>
      </text>
    </comment>
    <comment ref="B47" authorId="0">
      <text>
        <r>
          <rPr>
            <sz val="10"/>
            <rFont val="Arial"/>
            <family val="2"/>
          </rPr>
          <t xml:space="preserve">GM Form 10-K FY2025, SEC acc. 0001467858-26-000013, pension/OPEB note: U.S. pension $657 + non-U.S. pension $2,929 + OPEB $4,372 (net of plan assets)</t>
        </r>
      </text>
    </comment>
    <comment ref="B48" authorId="0">
      <text>
        <r>
          <rPr>
            <sz val="10"/>
            <rFont val="Arial"/>
            <family val="2"/>
          </rPr>
          <t xml:space="preserve">GM Form 10-K FY2025, SEC acc. 0001467858-26-000013, lease note. Excluded from EV under the Institute method.</t>
        </r>
      </text>
    </comment>
    <comment ref="B49" authorId="0">
      <text>
        <r>
          <rPr>
            <sz val="10"/>
            <rFont val="Arial"/>
            <family val="2"/>
          </rPr>
          <t xml:space="preserve">Institute assumption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stockanalysis.com/stocks/f/statistics, 10/21/2026 close</t>
        </r>
      </text>
    </comment>
    <comment ref="C6" authorId="0">
      <text>
        <r>
          <rPr>
            <sz val="10"/>
            <rFont val="Arial"/>
            <family val="2"/>
          </rPr>
          <t xml:space="preserve">stockanalysis.com/stocks/tm/statistics, 10/21/2026 close</t>
        </r>
      </text>
    </comment>
    <comment ref="C7" authorId="0">
      <text>
        <r>
          <rPr>
            <sz val="10"/>
            <rFont val="Arial"/>
            <family val="2"/>
          </rPr>
          <t xml:space="preserve">stockanalysis.com/stocks/hmc/statistics, 10/21/2026 close</t>
        </r>
      </text>
    </comment>
    <comment ref="C8" authorId="0">
      <text>
        <r>
          <rPr>
            <sz val="10"/>
            <rFont val="Arial"/>
            <family val="2"/>
          </rPr>
          <t xml:space="preserve">stockanalysis.com/stocks/stla/statistics, 10/21/2026 close</t>
        </r>
      </text>
    </comment>
    <comment ref="C9" authorId="0">
      <text>
        <r>
          <rPr>
            <sz val="10"/>
            <rFont val="Arial"/>
            <family val="2"/>
          </rPr>
          <t xml:space="preserve">stockanalysis.com/stocks/tsla/statistics, 10/21/2026 close</t>
        </r>
      </text>
    </comment>
    <comment ref="C15" authorId="0">
      <text>
        <r>
          <rPr>
            <sz val="10"/>
            <rFont val="Arial"/>
            <family val="2"/>
          </rPr>
          <t xml:space="preserve">stockanalysis.com 10/21/2026</t>
        </r>
      </text>
    </comment>
    <comment ref="C16" authorId="0">
      <text>
        <r>
          <rPr>
            <sz val="10"/>
            <rFont val="Arial"/>
            <family val="2"/>
          </rPr>
          <t xml:space="preserve">Ford Credit equity $14.6B, Ford Q2 2026 release</t>
        </r>
      </text>
    </comment>
    <comment ref="C17" authorId="0">
      <text>
        <r>
          <rPr>
            <sz val="10"/>
            <rFont val="Arial"/>
            <family val="2"/>
          </rPr>
          <t xml:space="preserve">Ford debt excl. Ford Credit $23.6B ($4.4B + $19.2B), Q2 2026 release</t>
        </r>
      </text>
    </comment>
    <comment ref="C18" authorId="0">
      <text>
        <r>
          <rPr>
            <sz val="10"/>
            <rFont val="Arial"/>
            <family val="2"/>
          </rPr>
          <t xml:space="preserve">Ford cash $10.2B + marketable securities $11.9B excl. Ford Credit, Q2 2026 release</t>
        </r>
      </text>
    </comment>
    <comment ref="C20" authorId="0">
      <text>
        <r>
          <rPr>
            <sz val="10"/>
            <rFont val="Arial"/>
            <family val="2"/>
          </rPr>
          <t xml:space="preserve">Ford 2026 adjusted EBIT guidance $10.0–11.0B (raised July 2026)</t>
        </r>
      </text>
    </comment>
    <comment ref="C21" authorId="0">
      <text>
        <r>
          <rPr>
            <sz val="10"/>
            <rFont val="Arial"/>
            <family val="2"/>
          </rPr>
          <t xml:space="preserve">Ford Credit EBT guidance &gt;$2.5B</t>
        </r>
      </text>
    </comment>
    <comment ref="C22" authorId="0">
      <text>
        <r>
          <rPr>
            <sz val="10"/>
            <rFont val="Arial"/>
            <family val="2"/>
          </rPr>
          <t xml:space="preserve">Ford D&amp;A and tooling amortization excl. Ford Credit H1 2026 $2,328M × 2</t>
        </r>
      </text>
    </comment>
    <comment ref="D5" authorId="0">
      <text>
        <r>
          <rPr>
            <sz val="10"/>
            <rFont val="Arial"/>
            <family val="2"/>
          </rPr>
          <t xml:space="preserve">stockanalysis.com/stocks/f/statistics, 10/21/2026 close</t>
        </r>
      </text>
    </comment>
    <comment ref="D6" authorId="0">
      <text>
        <r>
          <rPr>
            <sz val="10"/>
            <rFont val="Arial"/>
            <family val="2"/>
          </rPr>
          <t xml:space="preserve">stockanalysis.com/stocks/tm/statistics, 10/21/2026 close</t>
        </r>
      </text>
    </comment>
    <comment ref="D7" authorId="0">
      <text>
        <r>
          <rPr>
            <sz val="10"/>
            <rFont val="Arial"/>
            <family val="2"/>
          </rPr>
          <t xml:space="preserve">stockanalysis.com/stocks/hmc/statistics, 10/21/2026 close</t>
        </r>
      </text>
    </comment>
    <comment ref="D8" authorId="0">
      <text>
        <r>
          <rPr>
            <sz val="10"/>
            <rFont val="Arial"/>
            <family val="2"/>
          </rPr>
          <t xml:space="preserve">stockanalysis.com/stocks/stla/statistics, 10/21/2026 close</t>
        </r>
      </text>
    </comment>
    <comment ref="D9" authorId="0">
      <text>
        <r>
          <rPr>
            <sz val="10"/>
            <rFont val="Arial"/>
            <family val="2"/>
          </rPr>
          <t xml:space="preserve">stockanalysis.com/stocks/tsla/statistics, 10/21/2026 close</t>
        </r>
      </text>
    </comment>
    <comment ref="E5" authorId="0">
      <text>
        <r>
          <rPr>
            <sz val="10"/>
            <rFont val="Arial"/>
            <family val="2"/>
          </rPr>
          <t xml:space="preserve">Op. leases $685M + $2,627M, Q2 2026 balance sheet</t>
        </r>
      </text>
    </comment>
    <comment ref="E6" authorId="0">
      <text>
        <r>
          <rPr>
            <sz val="10"/>
            <rFont val="Arial"/>
            <family val="2"/>
          </rPr>
          <t xml:space="preserve">Lease liability not disclosed on screen; not restated</t>
        </r>
      </text>
    </comment>
    <comment ref="E7" authorId="0">
      <text>
        <r>
          <rPr>
            <sz val="10"/>
            <rFont val="Arial"/>
            <family val="2"/>
          </rPr>
          <t xml:space="preserve">Long-term op. lease liability ¥310.6B at ~¥153/$, Jun 2026</t>
        </r>
      </text>
    </comment>
    <comment ref="E8" authorId="0">
      <text>
        <r>
          <rPr>
            <sz val="10"/>
            <rFont val="Arial"/>
            <family val="2"/>
          </rPr>
          <t xml:space="preserve">€889M + €1,704M at ~1.16 $/€, H1 2026; EBITDA negative</t>
        </r>
      </text>
    </comment>
    <comment ref="E9" authorId="0">
      <text>
        <r>
          <rPr>
            <sz val="10"/>
            <rFont val="Arial"/>
            <family val="2"/>
          </rPr>
          <t xml:space="preserve">Q2 2026 op. leases $1,100M + $5,919M</t>
        </r>
      </text>
    </comment>
    <comment ref="G5" authorId="0">
      <text>
        <r>
          <rPr>
            <sz val="10"/>
            <rFont val="Arial"/>
            <family val="2"/>
          </rPr>
          <t xml:space="preserve">stockanalysis.com/stocks/f/statistics, 10/21/2026 close</t>
        </r>
      </text>
    </comment>
    <comment ref="G6" authorId="0">
      <text>
        <r>
          <rPr>
            <sz val="10"/>
            <rFont val="Arial"/>
            <family val="2"/>
          </rPr>
          <t xml:space="preserve">stockanalysis.com/stocks/tm/statistics, 10/21/2026 close</t>
        </r>
      </text>
    </comment>
    <comment ref="G7" authorId="0">
      <text>
        <r>
          <rPr>
            <sz val="10"/>
            <rFont val="Arial"/>
            <family val="2"/>
          </rPr>
          <t xml:space="preserve">stockanalysis.com/stocks/hmc/statistics, 10/21/2026 close</t>
        </r>
      </text>
    </comment>
    <comment ref="G8" authorId="0">
      <text>
        <r>
          <rPr>
            <sz val="10"/>
            <rFont val="Arial"/>
            <family val="2"/>
          </rPr>
          <t xml:space="preserve">stockanalysis.com/stocks/stla/statistics, 10/21/2026 close</t>
        </r>
      </text>
    </comment>
    <comment ref="G9" authorId="0">
      <text>
        <r>
          <rPr>
            <sz val="10"/>
            <rFont val="Arial"/>
            <family val="2"/>
          </rPr>
          <t xml:space="preserve">stockanalysis.com/stocks/tsla/statistics, 10/21/2026 close</t>
        </r>
      </text>
    </comment>
    <comment ref="I5" authorId="0">
      <text>
        <r>
          <rPr>
            <sz val="10"/>
            <rFont val="Arial"/>
            <family val="2"/>
          </rPr>
          <t xml:space="preserve">stockanalysis.com/stocks/f/statistics, 10/21/2026 close</t>
        </r>
      </text>
    </comment>
    <comment ref="I6" authorId="0">
      <text>
        <r>
          <rPr>
            <sz val="10"/>
            <rFont val="Arial"/>
            <family val="2"/>
          </rPr>
          <t xml:space="preserve">stockanalysis.com/stocks/tm/statistics, 10/21/2026 close</t>
        </r>
      </text>
    </comment>
    <comment ref="I7" authorId="0">
      <text>
        <r>
          <rPr>
            <sz val="10"/>
            <rFont val="Arial"/>
            <family val="2"/>
          </rPr>
          <t xml:space="preserve">stockanalysis.com/stocks/hmc/statistics, 10/21/2026 close</t>
        </r>
      </text>
    </comment>
    <comment ref="I8" authorId="0">
      <text>
        <r>
          <rPr>
            <sz val="10"/>
            <rFont val="Arial"/>
            <family val="2"/>
          </rPr>
          <t xml:space="preserve">stockanalysis.com/stocks/stla/statistics, 10/21/2026 close</t>
        </r>
      </text>
    </comment>
    <comment ref="I9" authorId="0">
      <text>
        <r>
          <rPr>
            <sz val="10"/>
            <rFont val="Arial"/>
            <family val="2"/>
          </rPr>
          <t xml:space="preserve">stockanalysis.com/stocks/tsla/statistics, 10/21/2026 close</t>
        </r>
      </text>
    </comment>
    <comment ref="J5" authorId="0">
      <text>
        <r>
          <rPr>
            <sz val="10"/>
            <rFont val="Arial"/>
            <family val="2"/>
          </rPr>
          <t xml:space="preserve">stockanalysis.com/stocks/f/statistics, 10/21/2026 close</t>
        </r>
      </text>
    </comment>
    <comment ref="J6" authorId="0">
      <text>
        <r>
          <rPr>
            <sz val="10"/>
            <rFont val="Arial"/>
            <family val="2"/>
          </rPr>
          <t xml:space="preserve">stockanalysis.com/stocks/tm/statistics, 10/21/2026 close</t>
        </r>
      </text>
    </comment>
    <comment ref="J7" authorId="0">
      <text>
        <r>
          <rPr>
            <sz val="10"/>
            <rFont val="Arial"/>
            <family val="2"/>
          </rPr>
          <t xml:space="preserve">stockanalysis.com/stocks/hmc/statistics, 10/21/2026 close</t>
        </r>
      </text>
    </comment>
    <comment ref="J9" authorId="0">
      <text>
        <r>
          <rPr>
            <sz val="10"/>
            <rFont val="Arial"/>
            <family val="2"/>
          </rPr>
          <t xml:space="preserve">stockanalysis.com/stocks/tsla/statistics, 10/21/2026 close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7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8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9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10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16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17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19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24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25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26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33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35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B36" authorId="0">
      <text>
        <r>
          <rPr>
            <sz val="10"/>
            <rFont val="Arial"/>
            <family val="2"/>
          </rPr>
          <t xml:space="preserve">GM Q3 2025 release (Q3 2024 comparative), acc. 0001467858-25-000141</t>
        </r>
      </text>
    </comment>
    <comment ref="C6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7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8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9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10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16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17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19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24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25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26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33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35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C36" authorId="0">
      <text>
        <r>
          <rPr>
            <sz val="10"/>
            <rFont val="Arial"/>
            <family val="2"/>
          </rPr>
          <t xml:space="preserve">GM Q4 2025 release (Q4 2024 comparative), acc. 0001467858-26-000011</t>
        </r>
      </text>
    </comment>
    <comment ref="D6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7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8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9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10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16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17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19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24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25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26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33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35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D36" authorId="0">
      <text>
        <r>
          <rPr>
            <sz val="10"/>
            <rFont val="Arial"/>
            <family val="2"/>
          </rPr>
          <t xml:space="preserve">GM Q1 2026 release (Q1 2025 comparative), acc. 0001467858-26-000033</t>
        </r>
      </text>
    </comment>
    <comment ref="E6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7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8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9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10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16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17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19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24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25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26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33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35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E36" authorId="0">
      <text>
        <r>
          <rPr>
            <sz val="10"/>
            <rFont val="Arial"/>
            <family val="2"/>
          </rPr>
          <t xml:space="preserve">GM Q2 2026 release (Q2 2025 comparative), acc. 0001467858-26-000049</t>
        </r>
      </text>
    </comment>
    <comment ref="F6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7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8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9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10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16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17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19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24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25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26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33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35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F36" authorId="0">
      <text>
        <r>
          <rPr>
            <sz val="10"/>
            <rFont val="Arial"/>
            <family val="2"/>
          </rPr>
          <t xml:space="preserve">GM Q3 2026 release (Q3 2025 comparative), acc. 0001467858-26-000056</t>
        </r>
      </text>
    </comment>
    <comment ref="G6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7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8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9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10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16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17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19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24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25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26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33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35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G36" authorId="0">
      <text>
        <r>
          <rPr>
            <sz val="10"/>
            <rFont val="Arial"/>
            <family val="2"/>
          </rPr>
          <t xml:space="preserve">GM Q4 2025 release, acc. 0001467858-26-000011</t>
        </r>
      </text>
    </comment>
    <comment ref="H6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7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8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9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10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16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17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19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24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25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26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33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35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H36" authorId="0">
      <text>
        <r>
          <rPr>
            <sz val="10"/>
            <rFont val="Arial"/>
            <family val="2"/>
          </rPr>
          <t xml:space="preserve">GM Q1 2026 release, acc. 0001467858-26-000033</t>
        </r>
      </text>
    </comment>
    <comment ref="I6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7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8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9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10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16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17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19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24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25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26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33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35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I36" authorId="0">
      <text>
        <r>
          <rPr>
            <sz val="10"/>
            <rFont val="Arial"/>
            <family val="2"/>
          </rPr>
          <t xml:space="preserve">GM Q2 2026 release, acc. 0001467858-26-000049</t>
        </r>
      </text>
    </comment>
    <comment ref="J6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7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8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9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10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16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17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19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24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25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26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33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35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  <comment ref="J36" authorId="0">
      <text>
        <r>
          <rPr>
            <sz val="10"/>
            <rFont val="Arial"/>
            <family val="2"/>
          </rPr>
          <t xml:space="preserve">GM Q3 2026 earnings release (8-K Ex. 99.1), 10/20/2026, SEC acc. 0001467858-26-000056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5" authorId="0">
      <text>
        <r>
          <rPr>
            <sz val="10"/>
            <rFont val="Arial"/>
            <family val="2"/>
          </rPr>
          <t xml:space="preserve">stockanalysis.com/stocks/gm/statistics, 10/21/2026 close</t>
        </r>
      </text>
    </comment>
    <comment ref="B26" authorId="0">
      <text>
        <r>
          <rPr>
            <sz val="10"/>
            <rFont val="Arial"/>
            <family val="2"/>
          </rPr>
          <t xml:space="preserve">stockanalysis.com/stocks/gm/statistics, 10/21/2026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1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2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3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4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1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B2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1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2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3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4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1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E2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1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2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3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4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1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G2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1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2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3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4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1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H2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1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2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3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4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5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6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7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8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19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  <comment ref="K20" authorId="0">
      <text>
        <r>
          <rPr>
            <sz val="10"/>
            <rFont val="Arial"/>
            <family val="2"/>
          </rPr>
          <t xml:space="preserve">TradingView, tradingview.com/symbols/NYSE-GM/bonds, October 2026 (principal per TradingView; 5.6% 2032 cross-checked at 98.79 / 5.84% on therighttrader.com)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Bear: tariffs at the high end, commodity and memory-chip costs persist, pickup launch drag and softer U.S. pricing take ~$3.2B out of EBITDA</t>
        </r>
      </text>
    </comment>
    <comment ref="B6" authorId="0">
      <text>
        <r>
          <rPr>
            <sz val="10"/>
            <rFont val="Arial"/>
            <family val="2"/>
          </rPr>
          <t xml:space="preserve">Below today's 2.1x</t>
        </r>
      </text>
    </comment>
    <comment ref="C6" authorId="0">
      <text>
        <r>
          <rPr>
            <sz val="10"/>
            <rFont val="Arial"/>
            <family val="2"/>
          </rPr>
          <t xml:space="preserve">Below Ford's 2.7x automotive-only multiple</t>
        </r>
      </text>
    </comment>
    <comment ref="D5" authorId="0">
      <text>
        <r>
          <rPr>
            <sz val="10"/>
            <rFont val="Arial"/>
            <family val="2"/>
          </rPr>
          <t xml:space="preserve">Bull: tariff relief, launch completed, EV losses shrink; ~$1.3B above 2026E</t>
        </r>
      </text>
    </comment>
    <comment ref="D6" authorId="0">
      <text>
        <r>
          <rPr>
            <sz val="10"/>
            <rFont val="Arial"/>
            <family val="2"/>
          </rPr>
          <t xml:space="preserve">Still below a third of Honda's and Toyota's consolidated screen multiples (~12.5–13x)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Near unadjusted 2026 OCF − capex (~$7.8B)</t>
        </r>
      </text>
    </comment>
    <comment ref="B6" authorId="0">
      <text>
        <r>
          <rPr>
            <sz val="10"/>
            <rFont val="Arial"/>
            <family val="2"/>
          </rPr>
          <t xml:space="preserve">Institute assumption: cyclical OEM; GM notes yield 5.1–6.9%</t>
        </r>
      </text>
    </comment>
    <comment ref="B7" authorId="0">
      <text>
        <r>
          <rPr>
            <sz val="10"/>
            <rFont val="Arial"/>
            <family val="2"/>
          </rPr>
          <t xml:space="preserve">Institute assumption: decline built in for cyclicality and the EV transition</t>
        </r>
      </text>
    </comment>
    <comment ref="C5" authorId="0">
      <text>
        <r>
          <rPr>
            <sz val="10"/>
            <rFont val="Arial"/>
            <family val="2"/>
          </rPr>
          <t xml:space="preserve">Between unadjusted (~$7.8B) and adjusted (~$12.0B) 2026 FCF</t>
        </r>
      </text>
    </comment>
    <comment ref="C6" authorId="0">
      <text>
        <r>
          <rPr>
            <sz val="10"/>
            <rFont val="Arial"/>
            <family val="2"/>
          </rPr>
          <t xml:space="preserve">Institute assumption: cyclical OEM; GM notes yield 5.1–6.9%</t>
        </r>
      </text>
    </comment>
    <comment ref="C7" authorId="0">
      <text>
        <r>
          <rPr>
            <sz val="10"/>
            <rFont val="Arial"/>
            <family val="2"/>
          </rPr>
          <t xml:space="preserve">Institute assumption: decline built in for cyclicality and the EV transition</t>
        </r>
      </text>
    </comment>
    <comment ref="D5" authorId="0">
      <text>
        <r>
          <rPr>
            <sz val="10"/>
            <rFont val="Arial"/>
            <family val="2"/>
          </rPr>
          <t xml:space="preserve">2026 adjusted FCF guide</t>
        </r>
      </text>
    </comment>
    <comment ref="D6" authorId="0">
      <text>
        <r>
          <rPr>
            <sz val="10"/>
            <rFont val="Arial"/>
            <family val="2"/>
          </rPr>
          <t xml:space="preserve">Institute assumption: cyclical OEM; GM notes yield 5.1–6.9%</t>
        </r>
      </text>
    </comment>
    <comment ref="D7" authorId="0">
      <text>
        <r>
          <rPr>
            <sz val="10"/>
            <rFont val="Arial"/>
            <family val="2"/>
          </rPr>
          <t xml:space="preserve">Institute assumption: decline built in for cyclicality and the EV transition</t>
        </r>
      </text>
    </comment>
  </commentList>
</comments>
</file>

<file path=xl/sharedStrings.xml><?xml version="1.0" encoding="utf-8"?>
<sst xmlns="http://schemas.openxmlformats.org/spreadsheetml/2006/main" count="413" uniqueCount="360">
  <si>
    <t xml:space="preserve">The Baratelli Institute — Mentoring at Scale · Case Study: General Motors Company (NYSE: GM)</t>
  </si>
  <si>
    <t xml:space="preserve">Practitioner valuation model · Measurement date October 21, 2026 · Every hardcoded figure carries a source comment</t>
  </si>
  <si>
    <t xml:space="preserve">www.baratelliinstitute.com</t>
  </si>
  <si>
    <t xml:space="preserve">Tabs: Inputs · 9Q Free Cash Flow · Sum of Parts · Comps · Debt Schedule · EV-EBITDA Valuation · DCF &amp; Reverse DCF · LBO Sanity Check · Checks</t>
  </si>
  <si>
    <t xml:space="preserve">Color code: blue = hardcoded input with source comment; black = formula; green = link from another tab; yellow = key lever.</t>
  </si>
  <si>
    <t xml:space="preserve">Institute EV method. Enterprise value = market capitalization + financial debt − cash. Operating lease liabilities are excluded for GM and every peer, because rent is already deducted in EBITDA.</t>
  </si>
  <si>
    <t xml:space="preserve">For GM the method is applied to the car business: GM Financial is removed at book value (its $113B of debt funds customer loans and leases, not the car business), then automotive debt is added and automotive cash subtracted.</t>
  </si>
  <si>
    <t xml:space="preserve">$ millions except per share unless noted. Price is the 10/21/2026 close. Balance sheet 9/30/2026 (Q3 2026 release and Form 10-Q).</t>
  </si>
  <si>
    <t xml:space="preserve">Position disclosure: the author holds no position in General Motors, actively follows the company, and may buy or sell shares at any time.</t>
  </si>
  <si>
    <t xml:space="preserve">Independent editorial analysis for education. Not investment advice. Not affiliated with General Motors Company.</t>
  </si>
  <si>
    <t xml:space="preserve">Inputs — General Motors Company (NYSE: GM)</t>
  </si>
  <si>
    <t xml:space="preserve">$ millions except per share. Blue = hardcoded input with source comment; black = formula; yellow = key lever. Measurement date 10/21/2026.</t>
  </si>
  <si>
    <t xml:space="preserve">Input</t>
  </si>
  <si>
    <t xml:space="preserve">Value</t>
  </si>
  <si>
    <t xml:space="preserve">Note</t>
  </si>
  <si>
    <t xml:space="preserve">Market</t>
  </si>
  <si>
    <t xml:space="preserve">Share price, 10/21/2026 close</t>
  </si>
  <si>
    <t xml:space="preserve">Closing price 10/21/2026: $76.11 (stockanalysis.com history; statmuse.com; digrin.com)</t>
  </si>
  <si>
    <t xml:space="preserve">Shares outstanding (millions), 10-Q cover at 10/9/2026</t>
  </si>
  <si>
    <t xml:space="preserve">GM Form 10-Q for the quarter ended 9/30/2026, SEC acc. 0001467858-26-000059, cover page: 843,549,423 shares</t>
  </si>
  <si>
    <t xml:space="preserve">Market capitalization</t>
  </si>
  <si>
    <t xml:space="preserve">Automotive balance sheet, 9/30/2026</t>
  </si>
  <si>
    <t xml:space="preserve">Automotive cash and cash equivalents</t>
  </si>
  <si>
    <t xml:space="preserve">GM Q3 2026 earnings release (8-K Ex. 99.1), 10/20/2026, SEC acc. 0001467858-26-000056</t>
  </si>
  <si>
    <t xml:space="preserve">Automotive marketable debt securities</t>
  </si>
  <si>
    <t xml:space="preserve">Automotive short-term debt</t>
  </si>
  <si>
    <t xml:space="preserve">GM Form 10-Q for the quarter ended 9/30/2026, SEC acc. 0001467858-26-000059, condensed consolidated balance sheet (automotive current debt)</t>
  </si>
  <si>
    <t xml:space="preserve">Automotive long-term debt</t>
  </si>
  <si>
    <t xml:space="preserve">GM Form 10-Q for the quarter ended 9/30/2026, SEC acc. 0001467858-26-000059, balance sheet</t>
  </si>
  <si>
    <t xml:space="preserve">Automotive financial debt</t>
  </si>
  <si>
    <t xml:space="preserve">Automotive net cash (cash + securities − debt)</t>
  </si>
  <si>
    <t xml:space="preserve">GM Financial</t>
  </si>
  <si>
    <t xml:space="preserve">GM Financial stockholders' equity (book), 9/30/2026</t>
  </si>
  <si>
    <t xml:space="preserve">GM Q3 2026 earnings release (8-K Ex. 99.1), 10/20/2026, SEC acc. 0001467858-26-000056, GM Financial balance sheet</t>
  </si>
  <si>
    <t xml:space="preserve">GM Financial debt (short + long term)</t>
  </si>
  <si>
    <t xml:space="preserve">GM Q3 2026 earnings release (8-K Ex. 99.1), 10/20/2026, SEC acc. 0001467858-26-000056: $42,939 + $70,005</t>
  </si>
  <si>
    <t xml:space="preserve">GM Financial value / book equity</t>
  </si>
  <si>
    <t xml:space="preserve">Institute assumption: captive valued at book. GMF earns ~$2.6B EBT a year (~12% after-tax ROE), so book is conservative.</t>
  </si>
  <si>
    <t xml:space="preserve">GM Financial equity value</t>
  </si>
  <si>
    <t xml:space="preserve">Guidance, FY2026 (updated 10/20/2026)</t>
  </si>
  <si>
    <t xml:space="preserve">EBIT-adjusted, low</t>
  </si>
  <si>
    <t xml:space="preserve">EBIT-adjusted, high</t>
  </si>
  <si>
    <t xml:space="preserve">EBIT-adjusted, midpoint</t>
  </si>
  <si>
    <t xml:space="preserve">EPS-diluted-adjusted, low</t>
  </si>
  <si>
    <t xml:space="preserve">EPS-diluted-adjusted, high</t>
  </si>
  <si>
    <t xml:space="preserve">EPS-diluted-adjusted, midpoint</t>
  </si>
  <si>
    <t xml:space="preserve">EPS-diluted (GAAP), low</t>
  </si>
  <si>
    <t xml:space="preserve">EPS-diluted (GAAP), high</t>
  </si>
  <si>
    <t xml:space="preserve">EPS-diluted (GAAP), midpoint</t>
  </si>
  <si>
    <t xml:space="preserve">Adjusted automotive free cash flow, low</t>
  </si>
  <si>
    <t xml:space="preserve">Adjusted automotive free cash flow, high</t>
  </si>
  <si>
    <t xml:space="preserve">Adjusted automotive FCF, midpoint</t>
  </si>
  <si>
    <t xml:space="preserve">Automotive operating cash flow, midpoint ($17.3–20.3B)</t>
  </si>
  <si>
    <t xml:space="preserve">GM Q3 2026 earnings release (8-K Ex. 99.1), 10/20/2026, SEC acc. 0001467858-26-000056: automotive operating cash flow guidance $17.3B–$20.3B</t>
  </si>
  <si>
    <t xml:space="preserve">Capital spending, midpoint ($10–12B)</t>
  </si>
  <si>
    <t xml:space="preserve">GM Q3 2026 earnings release (8-K Ex. 99.1), 10/20/2026, SEC acc. 0001467858-26-000056: capital spending $10B–$12B</t>
  </si>
  <si>
    <t xml:space="preserve">TTM and run-rate EBITDA build</t>
  </si>
  <si>
    <t xml:space="preserve">EBIT-adjusted, TTM (Q4'25 + 9M 2026)</t>
  </si>
  <si>
    <t xml:space="preserve">Q4'25 $2,843 + 9M 2026 $12,302</t>
  </si>
  <si>
    <t xml:space="preserve">GM Financial EBT-adjusted, TTM</t>
  </si>
  <si>
    <t xml:space="preserve">Q4'25 $609 + Q1'26 $689 + Q2'26 $605 + Q3'26 $668 (Q1'26 derived: 6M $1,294 less Q2 $605)</t>
  </si>
  <si>
    <t xml:space="preserve">GM Financial EBT-adjusted, 2026E (9M $1,962 annualized)</t>
  </si>
  <si>
    <t xml:space="preserve">GM Q3 2026 earnings release (8-K Ex. 99.1), 10/20/2026, SEC acc. 0001467858-26-000056: GM Financial EBT-adjusted nine months $1,962</t>
  </si>
  <si>
    <t xml:space="preserve">Automotive depreciation and amortization, 9M 2026</t>
  </si>
  <si>
    <t xml:space="preserve">GM Q3 2026 earnings release (8-K Ex. 99.1), 10/20/2026, SEC acc. 0001467858-26-000056, automotive D&amp;A nine months 2026. Q4 2025 reported D&amp;A ($3,209) includes EV-related impairments and is not used.</t>
  </si>
  <si>
    <t xml:space="preserve">Automotive D&amp;A, run-rate (9M 2026 annualized)</t>
  </si>
  <si>
    <t xml:space="preserve">Automotive EBITDA, TTM (EBIT-adj − GMF EBT + D&amp;A run-rate)</t>
  </si>
  <si>
    <t xml:space="preserve">Automotive EBITDA, 2026E (guide midpoint − GMF EBT + D&amp;A)</t>
  </si>
  <si>
    <t xml:space="preserve">Other</t>
  </si>
  <si>
    <t xml:space="preserve">Dividend per share, annualized ($0.18 quarterly)</t>
  </si>
  <si>
    <t xml:space="preserve">GM Q3 2026 earnings release (8-K Ex. 99.1), 10/20/2026, SEC acc. 0001467858-26-000056: $0.18 per share payable 12/17/2026</t>
  </si>
  <si>
    <t xml:space="preserve">New share repurchase authorization (10/20/2026)</t>
  </si>
  <si>
    <t xml:space="preserve">GM Q3 2026 earnings release (8-K Ex. 99.1), 10/20/2026, SEC acc. 0001467858-26-000056: $20 billion multi-year authorization, no expiration</t>
  </si>
  <si>
    <t xml:space="preserve">Net pension and OPEB underfunding, 12/31/2025</t>
  </si>
  <si>
    <t xml:space="preserve">GM Form 10-K FY2025, SEC acc. 0001467858-26-000013, pension/OPEB note: U.S. pension $657 + non-U.S. pension $2,929 + OPEB $4,372 (net of plan assets)</t>
  </si>
  <si>
    <t xml:space="preserve">Operating lease liabilities (consolidated), 12/31/2025</t>
  </si>
  <si>
    <t xml:space="preserve">GM Form 10-K FY2025, SEC acc. 0001467858-26-000013, lease note. Excluded from EV under the Institute method.</t>
  </si>
  <si>
    <t xml:space="preserve">Tax rate for valuation</t>
  </si>
  <si>
    <t xml:space="preserve">Institute assumption</t>
  </si>
  <si>
    <t xml:space="preserve">Adjustments in 2026 adjusted FCF (OCF − capex vs. adjusted FCF, midpoints)</t>
  </si>
  <si>
    <t xml:space="preserve">EV strategic-realignment and other cash items GM adds back in adjusted FCF</t>
  </si>
  <si>
    <t xml:space="preserve">Comparables — EV/EBITDA, Forward P/E and FCF Yield</t>
  </si>
  <si>
    <t xml:space="preserve">Screen data from stockanalysis.com statistics pages at the 10/21/2026 close. Institute restatement removes operating lease liabilities from screen EV.</t>
  </si>
  <si>
    <t xml:space="preserve">Company</t>
  </si>
  <si>
    <t xml:space="preserve">Ticker</t>
  </si>
  <si>
    <t xml:space="preserve">Mkt cap ($B)</t>
  </si>
  <si>
    <t xml:space="preserve">Screen EV ($B)</t>
  </si>
  <si>
    <t xml:space="preserve">Less op. leases ($B)</t>
  </si>
  <si>
    <t xml:space="preserve">EV, Institute ($B)</t>
  </si>
  <si>
    <t xml:space="preserve">EBITDA TTM ($B)</t>
  </si>
  <si>
    <t xml:space="preserve">EV/EBITDA</t>
  </si>
  <si>
    <t xml:space="preserve">Fwd P/E</t>
  </si>
  <si>
    <t xml:space="preserve">FCF yield</t>
  </si>
  <si>
    <t xml:space="preserve">Ford Motor</t>
  </si>
  <si>
    <t xml:space="preserve">F</t>
  </si>
  <si>
    <t xml:space="preserve">Toyota Motor</t>
  </si>
  <si>
    <t xml:space="preserve">TM</t>
  </si>
  <si>
    <t xml:space="preserve">Honda Motor</t>
  </si>
  <si>
    <t xml:space="preserve">HMC</t>
  </si>
  <si>
    <t xml:space="preserve">Stellantis</t>
  </si>
  <si>
    <t xml:space="preserve">STLA</t>
  </si>
  <si>
    <t xml:space="preserve">n.m.</t>
  </si>
  <si>
    <t xml:space="preserve">Tesla (contrast)</t>
  </si>
  <si>
    <t xml:space="preserve">TSLA</t>
  </si>
  <si>
    <t xml:space="preserve">GM, consolidated screen</t>
  </si>
  <si>
    <t xml:space="preserve">GM</t>
  </si>
  <si>
    <t xml:space="preserve">Median, Ford / Toyota / Honda (screen)</t>
  </si>
  <si>
    <t xml:space="preserve">Like for like: automotive only, captive finance arm removed</t>
  </si>
  <si>
    <t xml:space="preserve">$ billions</t>
  </si>
  <si>
    <t xml:space="preserve">Ford</t>
  </si>
  <si>
    <t xml:space="preserve">Less captive finance equity at book</t>
  </si>
  <si>
    <t xml:space="preserve">Plus automotive debt</t>
  </si>
  <si>
    <t xml:space="preserve">Less automotive cash and securities</t>
  </si>
  <si>
    <t xml:space="preserve">Automotive EV</t>
  </si>
  <si>
    <t xml:space="preserve">2026 EBIT guide midpoint</t>
  </si>
  <si>
    <t xml:space="preserve">Less captive finance EBT</t>
  </si>
  <si>
    <t xml:space="preserve">Plus automotive D&amp;A (annualized)</t>
  </si>
  <si>
    <t xml:space="preserve">Automotive EBITDA, 2026E</t>
  </si>
  <si>
    <t xml:space="preserve">EV / automotive EBITDA</t>
  </si>
  <si>
    <t xml:space="preserve">Ford balance sheet and D&amp;A are 6/30/2026 (Ford reports Q3 on 10/28/2026); GM is 9/30/2026. Screen EVs for Toyota and Honda include their captive finance debt, which is why consolidated multiples are not like for like.</t>
  </si>
  <si>
    <t xml:space="preserve">Nine Quarters of Automotive Free Cash Flow — and Where It Went</t>
  </si>
  <si>
    <t xml:space="preserve">$ millions except per share. Quarters as reported in each earnings release; Q4 and some items derived from year-to-date filings (see comments).</t>
  </si>
  <si>
    <t xml:space="preserve">$ millions</t>
  </si>
  <si>
    <t xml:space="preserve">Q3'24</t>
  </si>
  <si>
    <t xml:space="preserve">Q4'24</t>
  </si>
  <si>
    <t xml:space="preserve">Q1'25</t>
  </si>
  <si>
    <t xml:space="preserve">Q2'25</t>
  </si>
  <si>
    <t xml:space="preserve">Q3'25</t>
  </si>
  <si>
    <t xml:space="preserve">Q4'25</t>
  </si>
  <si>
    <t xml:space="preserve">Q1'26</t>
  </si>
  <si>
    <t xml:space="preserve">Q2'26</t>
  </si>
  <si>
    <t xml:space="preserve">Q3'26</t>
  </si>
  <si>
    <t xml:space="preserve">9Q total</t>
  </si>
  <si>
    <t xml:space="preserve">TTM</t>
  </si>
  <si>
    <t xml:space="preserve">Income statement and EBIT-adjusted</t>
  </si>
  <si>
    <t xml:space="preserve">Revenue</t>
  </si>
  <si>
    <t xml:space="preserve">Net income attributable to stockholders</t>
  </si>
  <si>
    <t xml:space="preserve">EBIT-adjusted</t>
  </si>
  <si>
    <t xml:space="preserve">  of which GM Financial EBT-adjusted</t>
  </si>
  <si>
    <t xml:space="preserve">EPS-diluted-adjusted</t>
  </si>
  <si>
    <t xml:space="preserve">Automotive EBIT-adjusted (excl. GM Financial)</t>
  </si>
  <si>
    <t xml:space="preserve">TTM link: EBIT-adjusted (col K = TTM)</t>
  </si>
  <si>
    <t xml:space="preserve">TTM link: GM Financial EBT-adjusted (col K = TTM)</t>
  </si>
  <si>
    <t xml:space="preserve">Automotive free cash flow</t>
  </si>
  <si>
    <t xml:space="preserve">Automotive operating cash flow</t>
  </si>
  <si>
    <t xml:space="preserve">Automotive capital expenditures</t>
  </si>
  <si>
    <t xml:space="preserve">Automotive OCF less capex</t>
  </si>
  <si>
    <t xml:space="preserve">Adjusted automotive free cash flow (GM definition)</t>
  </si>
  <si>
    <t xml:space="preserve">  GM add-backs (EV realignment, restructuring, other)</t>
  </si>
  <si>
    <t xml:space="preserve">TTM adjusted automotive FCF</t>
  </si>
  <si>
    <t xml:space="preserve">Uses of cash</t>
  </si>
  <si>
    <t xml:space="preserve">Share repurchases (cash paid)</t>
  </si>
  <si>
    <t xml:space="preserve">Common dividends</t>
  </si>
  <si>
    <t xml:space="preserve">Automotive debt repayment (gross)</t>
  </si>
  <si>
    <t xml:space="preserve">Total uses</t>
  </si>
  <si>
    <t xml:space="preserve">Adjusted FCF less uses</t>
  </si>
  <si>
    <t xml:space="preserve">Buybacks % of uses</t>
  </si>
  <si>
    <t xml:space="preserve">Uses % of adjusted FCF</t>
  </si>
  <si>
    <t xml:space="preserve">Share count and buyback price</t>
  </si>
  <si>
    <t xml:space="preserve">Shares repurchased (millions)</t>
  </si>
  <si>
    <t xml:space="preserve">Average price paid per share</t>
  </si>
  <si>
    <t xml:space="preserve">Period-end shares outstanding (millions)</t>
  </si>
  <si>
    <t xml:space="preserve">Diluted weighted shares, adjusted (millions)</t>
  </si>
  <si>
    <t xml:space="preserve">Cumulative share reduction vs. Q3'24 period-end</t>
  </si>
  <si>
    <t xml:space="preserve">Repurchased shares valued at today's price</t>
  </si>
  <si>
    <t xml:space="preserve">Gain / (loss) vs. cost on repurchased shares</t>
  </si>
  <si>
    <t xml:space="preserve">Q1'25: the February 2025 $2.0B accelerated share repurchase delivered 33M shares at once and 10M more at final settlement in Q2; all 43M are shown in Q1, when the cash was paid. Q3'26 shares bought = 65M nine-month total in the 10-Q equity note less 36M in H1.</t>
  </si>
  <si>
    <t xml:space="preserve">Diluted shares for loss quarters Q4'24 and Q4'25 are the adjusted (dilutive) counts from the releases. Automotive debt repayment is gross 'payments on debt (original maturities &gt; 3 months)' in the automotive cash flow; derived quarters subtract year-to-date figures.</t>
  </si>
  <si>
    <t xml:space="preserve">Adjusted automotive FCF is GM's non-GAAP measure: automotive OCF less capital spending, plus add-backs for EV strategic realignment, restructuring and other items. Row 18 shows the unadjusted figure for comparison.</t>
  </si>
  <si>
    <t xml:space="preserve">Sum of the Parts — Pricing the Car Business on Its Own</t>
  </si>
  <si>
    <t xml:space="preserve">Institute EV method applied to the automotive company: market cap less the captive finance arm, plus automotive financial debt, less automotive cash.</t>
  </si>
  <si>
    <t xml:space="preserve">843.5M shares × $76.11</t>
  </si>
  <si>
    <t xml:space="preserve">Less: GM Financial equity value (book × multiple)</t>
  </si>
  <si>
    <t xml:space="preserve">Captive finance arm carried at book; its $113B of debt stays inside it</t>
  </si>
  <si>
    <t xml:space="preserve">Implied value of the automotive equity</t>
  </si>
  <si>
    <t xml:space="preserve">Plus: automotive financial debt</t>
  </si>
  <si>
    <t xml:space="preserve">Short + long-term automotive debt</t>
  </si>
  <si>
    <t xml:space="preserve">Less: automotive cash and marketable securities</t>
  </si>
  <si>
    <t xml:space="preserve">Automotive enterprise value (Institute method)</t>
  </si>
  <si>
    <t xml:space="preserve">Operating leases excluded: rent is already deducted in EBITDA</t>
  </si>
  <si>
    <t xml:space="preserve">Automotive EBITDA, TTM</t>
  </si>
  <si>
    <t xml:space="preserve">EBIT-adj TTM − GM Financial EBT TTM + automotive D&amp;A run-rate</t>
  </si>
  <si>
    <t xml:space="preserve">Guide midpoint $15.0B − GMF ~$2.6B + D&amp;A ~$6.8B</t>
  </si>
  <si>
    <t xml:space="preserve">EV / automotive EBITDA, TTM</t>
  </si>
  <si>
    <t xml:space="preserve">EV / automotive EBITDA, 2026E</t>
  </si>
  <si>
    <t xml:space="preserve">Adjusted automotive FCF, 2026 guide midpoint</t>
  </si>
  <si>
    <t xml:space="preserve">FCF yield on automotive equity</t>
  </si>
  <si>
    <t xml:space="preserve">FCF yield on total market cap</t>
  </si>
  <si>
    <t xml:space="preserve">Unadjusted FCF (OCF − capex midpoints) yield on automotive equity</t>
  </si>
  <si>
    <t xml:space="preserve">Before GM's add-backs</t>
  </si>
  <si>
    <t xml:space="preserve">SENSITIVITY: add net pension and OPEB underfunding as debt</t>
  </si>
  <si>
    <t xml:space="preserve">Automotive EV including pension/OPEB</t>
  </si>
  <si>
    <t xml:space="preserve">Not part of the Institute method; shown because GM's obligations are large</t>
  </si>
  <si>
    <t xml:space="preserve">EV / automotive EBITDA, 2026E, including pension/OPEB</t>
  </si>
  <si>
    <t xml:space="preserve">For contrast: consolidated EV (screen method, includes GM Financial debt)</t>
  </si>
  <si>
    <t xml:space="preserve">stockanalysis.com/stocks/gm/statistics, 10/21/2026 close</t>
  </si>
  <si>
    <t xml:space="preserve">Consolidated screen EBITDA, TTM</t>
  </si>
  <si>
    <t xml:space="preserve">stockanalysis.com/stocks/gm/statistics, 10/21/2026</t>
  </si>
  <si>
    <t xml:space="preserve">Screen EV/EBITDA (what most screens show)</t>
  </si>
  <si>
    <t xml:space="preserve">Inflated by $113B of GM Financial debt that funds car loans, not the car business</t>
  </si>
  <si>
    <t xml:space="preserve">Debt Schedule — General Motors Company Senior Notes</t>
  </si>
  <si>
    <t xml:space="preserve">Parent-company (automotive) notes. Excludes GM Financial, which funds itself. Prices and yield to worst: TradingView GM bonds page, October 2026. Years measured from 10/21/2026.</t>
  </si>
  <si>
    <t xml:space="preserve">Coupon</t>
  </si>
  <si>
    <t xml:space="preserve">Maturity</t>
  </si>
  <si>
    <t xml:space="preserve">Year</t>
  </si>
  <si>
    <t xml:space="preserve">Principal ($M)</t>
  </si>
  <si>
    <t xml:space="preserve">Interest ($M)</t>
  </si>
  <si>
    <t xml:space="preserve">Price</t>
  </si>
  <si>
    <t xml:space="preserve">YTW</t>
  </si>
  <si>
    <t xml:space="preserve">Mkt value ($M)</t>
  </si>
  <si>
    <t xml:space="preserve">Years to maturity</t>
  </si>
  <si>
    <t xml:space="preserve">Month</t>
  </si>
  <si>
    <t xml:space="preserve">Senior notes</t>
  </si>
  <si>
    <t xml:space="preserve">Oct 2027</t>
  </si>
  <si>
    <t xml:space="preserve">Apr 2028</t>
  </si>
  <si>
    <t xml:space="preserve">Oct 2028</t>
  </si>
  <si>
    <t xml:space="preserve">Oct 2029</t>
  </si>
  <si>
    <t xml:space="preserve">Apr 2030</t>
  </si>
  <si>
    <t xml:space="preserve">Oct 2032</t>
  </si>
  <si>
    <t xml:space="preserve">Apr 2035</t>
  </si>
  <si>
    <t xml:space="preserve">Apr 2036</t>
  </si>
  <si>
    <t xml:space="preserve">Apr 2038</t>
  </si>
  <si>
    <t xml:space="preserve">Oct 2043</t>
  </si>
  <si>
    <t xml:space="preserve">Apr 2045</t>
  </si>
  <si>
    <t xml:space="preserve">Apr 2046</t>
  </si>
  <si>
    <t xml:space="preserve">Apr 2048</t>
  </si>
  <si>
    <t xml:space="preserve">Apr 2049</t>
  </si>
  <si>
    <t xml:space="preserve">Total / weighted</t>
  </si>
  <si>
    <t xml:space="preserve">Automotive debt, 10-Q consolidated balance sheet (release automotive column shows $16,148 incl. $349 owed to GM Financial, eliminated)</t>
  </si>
  <si>
    <t xml:space="preserve">Other automotive debt (finance leases, other borrowings, discounts)</t>
  </si>
  <si>
    <t xml:space="preserve">Maturity ladder</t>
  </si>
  <si>
    <t xml:space="preserve">Calendar year</t>
  </si>
  <si>
    <t xml:space="preserve">2027</t>
  </si>
  <si>
    <t xml:space="preserve">2028</t>
  </si>
  <si>
    <t xml:space="preserve">2029</t>
  </si>
  <si>
    <t xml:space="preserve">2030</t>
  </si>
  <si>
    <t xml:space="preserve">2032</t>
  </si>
  <si>
    <t xml:space="preserve">2035</t>
  </si>
  <si>
    <t xml:space="preserve">2036</t>
  </si>
  <si>
    <t xml:space="preserve">2038</t>
  </si>
  <si>
    <t xml:space="preserve">2043</t>
  </si>
  <si>
    <t xml:space="preserve">Principal due</t>
  </si>
  <si>
    <t xml:space="preserve">Cumulative</t>
  </si>
  <si>
    <t xml:space="preserve">% of notes</t>
  </si>
  <si>
    <t xml:space="preserve">2045</t>
  </si>
  <si>
    <t xml:space="preserve">2046</t>
  </si>
  <si>
    <t xml:space="preserve">2048</t>
  </si>
  <si>
    <t xml:space="preserve">2049</t>
  </si>
  <si>
    <t xml:space="preserve">Total</t>
  </si>
  <si>
    <t xml:space="preserve">Coverage</t>
  </si>
  <si>
    <t xml:space="preserve">Notes due 2027–2028</t>
  </si>
  <si>
    <t xml:space="preserve">Adjusted FCF after dividends, 2026 guide</t>
  </si>
  <si>
    <t xml:space="preserve">Years of post-dividend FCF to retire 2027–2028 notes</t>
  </si>
  <si>
    <t xml:space="preserve">Automotive cash and securities / total notes</t>
  </si>
  <si>
    <t xml:space="preserve">Bond yield (weighted YTW) vs. equity FCF yield on automotive equity</t>
  </si>
  <si>
    <t xml:space="preserve">Ratings: Moody's Baa2 (stable), S&amp;P BBB (stable), Fitch BBB (positive), DBRS BBB (high) (stable, confirmed 6/19/2026).</t>
  </si>
  <si>
    <t xml:space="preserve">Valuation Verdict — Automotive EV/EBITDA Scenarios</t>
  </si>
  <si>
    <t xml:space="preserve">Car business valued on EV/EBITDA; GM Financial added at book; automotive net cash added. Leases excluded. Blue/yellow cells are levers.</t>
  </si>
  <si>
    <t xml:space="preserve">Driver</t>
  </si>
  <si>
    <t xml:space="preserve">Bear</t>
  </si>
  <si>
    <t xml:space="preserve">Base</t>
  </si>
  <si>
    <t xml:space="preserve">Bull</t>
  </si>
  <si>
    <t xml:space="preserve">Forward automotive EBITDA, 2027E ($mm)</t>
  </si>
  <si>
    <t xml:space="preserve">EV / automotive EBITDA multiple</t>
  </si>
  <si>
    <t xml:space="preserve">Automotive enterprise value</t>
  </si>
  <si>
    <t xml:space="preserve">Plus: automotive net cash</t>
  </si>
  <si>
    <t xml:space="preserve">Plus: GM Financial at book</t>
  </si>
  <si>
    <t xml:space="preserve">Equity value</t>
  </si>
  <si>
    <t xml:space="preserve">Value per share</t>
  </si>
  <si>
    <t xml:space="preserve">Upside / (downside) vs. $76.11</t>
  </si>
  <si>
    <t xml:space="preserve">Probability</t>
  </si>
  <si>
    <t xml:space="preserve">Probability check (must = 100%)</t>
  </si>
  <si>
    <t xml:space="preserve">Probability-weighted value per share</t>
  </si>
  <si>
    <t xml:space="preserve">Upside vs. price</t>
  </si>
  <si>
    <t xml:space="preserve">Value of one turn of automotive EBITDA</t>
  </si>
  <si>
    <t xml:space="preserve">Each 1.0x of 2026E automotive EBITDA, per share</t>
  </si>
  <si>
    <t xml:space="preserve">As % of share price</t>
  </si>
  <si>
    <t xml:space="preserve">What GM is worth at…</t>
  </si>
  <si>
    <t xml:space="preserve">Multiple of 2026E automotive EBITDA</t>
  </si>
  <si>
    <t xml:space="preserve">Auto EV</t>
  </si>
  <si>
    <t xml:space="preserve">Equity</t>
  </si>
  <si>
    <t xml:space="preserve">Per share</t>
  </si>
  <si>
    <t xml:space="preserve">vs. price</t>
  </si>
  <si>
    <t xml:space="preserve">Today's market multiple</t>
  </si>
  <si>
    <t xml:space="preserve">Institute base</t>
  </si>
  <si>
    <t xml:space="preserve">Ford, automotive only</t>
  </si>
  <si>
    <t xml:space="preserve">3.0x</t>
  </si>
  <si>
    <t xml:space="preserve">Institute bull</t>
  </si>
  <si>
    <t xml:space="preserve">5.0x</t>
  </si>
  <si>
    <t xml:space="preserve">The $20 billion buyback</t>
  </si>
  <si>
    <t xml:space="preserve">Authorization as % of market cap</t>
  </si>
  <si>
    <t xml:space="preserve">Shares retired at today's price (millions)</t>
  </si>
  <si>
    <t xml:space="preserve">As % of shares outstanding</t>
  </si>
  <si>
    <t xml:space="preserve">Years of post-dividend adjusted FCF to fund it (2026 guide)</t>
  </si>
  <si>
    <t xml:space="preserve">Pro forma shares if completed at today's price</t>
  </si>
  <si>
    <t xml:space="preserve">Pro forma adjusted EPS (2026 guide midpoint, net income held)</t>
  </si>
  <si>
    <t xml:space="preserve">Note: ignores lost interest on cash used and dilution from stock compensation; earnings held at the 2026 guide.</t>
  </si>
  <si>
    <t xml:space="preserve">DCF Cross-Check and Reverse DCF — Automotive Business</t>
  </si>
  <si>
    <t xml:space="preserve">Perpetuity on normalized automotive free cash flow. GM Financial and automotive net cash added separately.</t>
  </si>
  <si>
    <t xml:space="preserve">Normalized automotive FCF</t>
  </si>
  <si>
    <t xml:space="preserve">Normalized automotive free cash flow ($mm)</t>
  </si>
  <si>
    <t xml:space="preserve">Discount rate (WACC)</t>
  </si>
  <si>
    <t xml:space="preserve">Perpetual growth</t>
  </si>
  <si>
    <t xml:space="preserve">Plus automotive net cash</t>
  </si>
  <si>
    <t xml:space="preserve">Plus GM Financial at book</t>
  </si>
  <si>
    <t xml:space="preserve">Less net pension and OPEB underfunding</t>
  </si>
  <si>
    <t xml:space="preserve">DCF value per share</t>
  </si>
  <si>
    <t xml:space="preserve">REVERSE DCF — what does $76.11 imply?</t>
  </si>
  <si>
    <t xml:space="preserve">Automotive EV implied by the market</t>
  </si>
  <si>
    <t xml:space="preserve">Base normalized automotive FCF</t>
  </si>
  <si>
    <t xml:space="preserve">Base discount rate</t>
  </si>
  <si>
    <t xml:space="preserve">Implied perpetual growth rate</t>
  </si>
  <si>
    <t xml:space="preserve">Same test on the 2026 adjusted FCF guide</t>
  </si>
  <si>
    <t xml:space="preserve">Read: the market prices GM's car business as if its cash flow shrinks at this rate every year, forever.</t>
  </si>
  <si>
    <t xml:space="preserve">Private-Equity Sanity Check — Take-Private of the Automotive Business</t>
  </si>
  <si>
    <t xml:space="preserve">Leverage set at 2.5x, not the house 5.0x: a cyclical carmaker cannot carry buyout leverage. GM Financial and net cash stay with the company.</t>
  </si>
  <si>
    <t xml:space="preserve">Assumption</t>
  </si>
  <si>
    <t xml:space="preserve">Entry automotive EBITDA ($mm)</t>
  </si>
  <si>
    <t xml:space="preserve">2026E</t>
  </si>
  <si>
    <t xml:space="preserve">Entry EV/EBITDA</t>
  </si>
  <si>
    <t xml:space="preserve">Institute assumption; above Ford's 2.7x</t>
  </si>
  <si>
    <t xml:space="preserve">Entry automotive enterprise value</t>
  </si>
  <si>
    <t xml:space="preserve">Equity purchase price</t>
  </si>
  <si>
    <t xml:space="preserve">Offer price per share</t>
  </si>
  <si>
    <t xml:space="preserve">Premium to current price</t>
  </si>
  <si>
    <t xml:space="preserve">New debt / automotive EBITDA</t>
  </si>
  <si>
    <t xml:space="preserve">House standard is 5.0x; an OEM's cyclicality caps it far lower</t>
  </si>
  <si>
    <t xml:space="preserve">New debt</t>
  </si>
  <si>
    <t xml:space="preserve">Sponsor equity check</t>
  </si>
  <si>
    <t xml:space="preserve">Cost of debt</t>
  </si>
  <si>
    <t xml:space="preserve">Annual after-tax interest</t>
  </si>
  <si>
    <t xml:space="preserve">Normalized automotive FCF before interest</t>
  </si>
  <si>
    <t xml:space="preserve">Base case</t>
  </si>
  <si>
    <t xml:space="preserve">Annual levered FCF to debt paydown</t>
  </si>
  <si>
    <t xml:space="preserve">Held flat; interest saved on paydown ignored (conservative)</t>
  </si>
  <si>
    <t xml:space="preserve">Hold period (years)</t>
  </si>
  <si>
    <t xml:space="preserve">Exit EV/EBITDA</t>
  </si>
  <si>
    <t xml:space="preserve">Exit at entry multiple, no EBITDA growth</t>
  </si>
  <si>
    <t xml:space="preserve">Exit debt</t>
  </si>
  <si>
    <t xml:space="preserve">Exit equity (auto EV − debt + net cash + GM Financial)</t>
  </si>
  <si>
    <t xml:space="preserve">MOIC</t>
  </si>
  <si>
    <t xml:space="preserve">IRR</t>
  </si>
  <si>
    <t xml:space="preserve">Tie-Out Checks</t>
  </si>
  <si>
    <t xml:space="preserve">Each check should read 0 (or TRUE). Recalculated with LibreOffice before publishing.</t>
  </si>
  <si>
    <t xml:space="preserve">Check</t>
  </si>
  <si>
    <t xml:space="preserve">Result</t>
  </si>
  <si>
    <t xml:space="preserve">Expected</t>
  </si>
  <si>
    <t xml:space="preserve">2025 adjusted automotive FCF: Q1–Q4'25 vs. FY2025 reported $10,595</t>
  </si>
  <si>
    <t xml:space="preserve">0 (±1 rounding)</t>
  </si>
  <si>
    <t xml:space="preserve">9M 2026 adjusted automotive FCF vs. reported $12,184</t>
  </si>
  <si>
    <t xml:space="preserve">0</t>
  </si>
  <si>
    <t xml:space="preserve">9M 2026 automotive OCF vs. reported $13,653</t>
  </si>
  <si>
    <t xml:space="preserve">9M 2026 share repurchases vs. 10-Q $5,300 (cash $5,301)</t>
  </si>
  <si>
    <t xml:space="preserve">9M 2026 shares repurchased vs. 10-Q 65M</t>
  </si>
  <si>
    <t xml:space="preserve">9M 2026 EBIT-adjusted vs. reported $12,302</t>
  </si>
  <si>
    <t xml:space="preserve">Senior notes vs. automotive long-term debt (other debt should be small and positive)</t>
  </si>
  <si>
    <t xml:space="preserve">TRUE</t>
  </si>
  <si>
    <t xml:space="preserve">Maturity ladder total = notes total</t>
  </si>
  <si>
    <t xml:space="preserve">Scenario probabilities sum to 100%</t>
  </si>
  <si>
    <t xml:space="preserve">Market cap ties to screen ($64.20B, stockanalysis.com)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</si>
</sst>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\$#,##0.00;&quot;($&quot;#,##0.00\);\-"/>
    <numFmt numFmtId="166" formatCode="#,##0.0;\(#,##0.0\);\-"/>
    <numFmt numFmtId="167" formatCode="\$#,##0;&quot;($&quot;#,##0\);\-"/>
    <numFmt numFmtId="168" formatCode="0.00\x"/>
    <numFmt numFmtId="169" formatCode="0.0%;\(0.0%\);\-"/>
    <numFmt numFmtId="170" formatCode="#,##0.00"/>
    <numFmt numFmtId="171" formatCode="0.0\x"/>
    <numFmt numFmtId="172" formatCode="#,##0;\(#,##0\);\-"/>
    <numFmt numFmtId="173" formatCode="0.000%"/>
    <numFmt numFmtId="174" formatCode="0"/>
    <numFmt numFmtId="175" formatCode="0.00"/>
    <numFmt numFmtId="176" formatCode="0.00%"/>
    <numFmt numFmtId="177" formatCode="0.0"/>
    <numFmt numFmtId="178" formatCode="0;\(0\);0"/>
    <numFmt numFmtId="179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7E9EE"/>
        <bgColor rgb="FFFF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9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9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9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7E9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  <col collapsed="false" customWidth="true" hidden="false" outlineLevel="0" max="12" min="2" style="0" width="12.5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5"/>
    </row>
    <row r="6" customFormat="false" ht="23.85" hidden="false" customHeight="false" outlineLevel="0" collapsed="false">
      <c r="A6" s="5" t="s">
        <v>3</v>
      </c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5"/>
    </row>
    <row r="9" customFormat="false" ht="23.85" hidden="false" customHeight="false" outlineLevel="0" collapsed="false">
      <c r="A9" s="4" t="s">
        <v>5</v>
      </c>
    </row>
    <row r="10" customFormat="false" ht="23.85" hidden="false" customHeight="false" outlineLevel="0" collapsed="false">
      <c r="A10" s="5" t="s">
        <v>6</v>
      </c>
    </row>
    <row r="11" customFormat="false" ht="15" hidden="false" customHeight="false" outlineLevel="0" collapsed="false">
      <c r="A11" s="5" t="s">
        <v>7</v>
      </c>
    </row>
    <row r="12" customFormat="false" ht="15" hidden="false" customHeight="false" outlineLevel="0" collapsed="false">
      <c r="A12" s="5"/>
    </row>
    <row r="13" customFormat="false" ht="15" hidden="false" customHeight="false" outlineLevel="0" collapsed="false">
      <c r="A13" s="5" t="s">
        <v>8</v>
      </c>
    </row>
    <row r="14" customFormat="false" ht="15" hidden="false" customHeight="false" outlineLevel="0" collapsed="false">
      <c r="A14" s="5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2.5"/>
    <col collapsed="false" customWidth="true" hidden="false" outlineLevel="0" max="3" min="3" style="0" width="70"/>
    <col collapsed="false" customWidth="true" hidden="false" outlineLevel="0" max="12" min="4" style="0" width="12.5"/>
  </cols>
  <sheetData>
    <row r="1" customFormat="false" ht="17.35" hidden="false" customHeight="false" outlineLevel="0" collapsed="false">
      <c r="A1" s="1" t="s">
        <v>10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11</v>
      </c>
    </row>
    <row r="4" customFormat="false" ht="15" hidden="false" customHeight="false" outlineLevel="0" collapsed="false">
      <c r="A4" s="6" t="s">
        <v>12</v>
      </c>
      <c r="B4" s="7" t="s">
        <v>13</v>
      </c>
      <c r="C4" s="7" t="s">
        <v>14</v>
      </c>
    </row>
    <row r="5" customFormat="false" ht="15" hidden="false" customHeight="false" outlineLevel="0" collapsed="false">
      <c r="A5" s="8" t="s">
        <v>15</v>
      </c>
      <c r="B5" s="9"/>
      <c r="C5" s="9"/>
    </row>
    <row r="6" customFormat="false" ht="15" hidden="false" customHeight="false" outlineLevel="0" collapsed="false">
      <c r="A6" s="10" t="s">
        <v>16</v>
      </c>
      <c r="B6" s="11" t="n">
        <v>76.11</v>
      </c>
      <c r="C6" s="3" t="s">
        <v>17</v>
      </c>
    </row>
    <row r="7" customFormat="false" ht="15" hidden="false" customHeight="false" outlineLevel="0" collapsed="false">
      <c r="A7" s="10" t="s">
        <v>18</v>
      </c>
      <c r="B7" s="12" t="n">
        <v>843.549423</v>
      </c>
      <c r="C7" s="3" t="s">
        <v>19</v>
      </c>
    </row>
    <row r="8" customFormat="false" ht="15" hidden="false" customHeight="false" outlineLevel="0" collapsed="false">
      <c r="A8" s="10" t="s">
        <v>20</v>
      </c>
      <c r="B8" s="13" t="n">
        <f aca="false">Inputs!B6*Inputs!B7</f>
        <v>64202.54658453</v>
      </c>
    </row>
    <row r="9" customFormat="false" ht="15" hidden="false" customHeight="false" outlineLevel="0" collapsed="false">
      <c r="A9" s="8" t="s">
        <v>21</v>
      </c>
      <c r="B9" s="9"/>
      <c r="C9" s="9"/>
    </row>
    <row r="10" customFormat="false" ht="15" hidden="false" customHeight="false" outlineLevel="0" collapsed="false">
      <c r="A10" s="10" t="s">
        <v>22</v>
      </c>
      <c r="B10" s="14" t="n">
        <v>18765</v>
      </c>
      <c r="C10" s="3" t="s">
        <v>23</v>
      </c>
    </row>
    <row r="11" customFormat="false" ht="15" hidden="false" customHeight="false" outlineLevel="0" collapsed="false">
      <c r="A11" s="10" t="s">
        <v>24</v>
      </c>
      <c r="B11" s="14" t="n">
        <v>4351</v>
      </c>
      <c r="C11" s="3" t="s">
        <v>23</v>
      </c>
    </row>
    <row r="12" customFormat="false" ht="15" hidden="false" customHeight="false" outlineLevel="0" collapsed="false">
      <c r="A12" s="10" t="s">
        <v>25</v>
      </c>
      <c r="B12" s="14" t="n">
        <v>529</v>
      </c>
      <c r="C12" s="3" t="s">
        <v>26</v>
      </c>
    </row>
    <row r="13" customFormat="false" ht="15" hidden="false" customHeight="false" outlineLevel="0" collapsed="false">
      <c r="A13" s="10" t="s">
        <v>27</v>
      </c>
      <c r="B13" s="14" t="n">
        <v>15270</v>
      </c>
      <c r="C13" s="3" t="s">
        <v>28</v>
      </c>
    </row>
    <row r="14" customFormat="false" ht="15" hidden="false" customHeight="false" outlineLevel="0" collapsed="false">
      <c r="A14" s="10" t="s">
        <v>29</v>
      </c>
      <c r="B14" s="13" t="n">
        <f aca="false">Inputs!B12+Inputs!B13</f>
        <v>15799</v>
      </c>
    </row>
    <row r="15" customFormat="false" ht="15" hidden="false" customHeight="false" outlineLevel="0" collapsed="false">
      <c r="A15" s="10" t="s">
        <v>30</v>
      </c>
      <c r="B15" s="13" t="n">
        <f aca="false">Inputs!B10+Inputs!B11-Inputs!B14</f>
        <v>7317</v>
      </c>
    </row>
    <row r="16" customFormat="false" ht="15" hidden="false" customHeight="false" outlineLevel="0" collapsed="false">
      <c r="A16" s="8" t="s">
        <v>31</v>
      </c>
      <c r="B16" s="9"/>
      <c r="C16" s="9"/>
    </row>
    <row r="17" customFormat="false" ht="15" hidden="false" customHeight="false" outlineLevel="0" collapsed="false">
      <c r="A17" s="10" t="s">
        <v>32</v>
      </c>
      <c r="B17" s="14" t="n">
        <v>16521</v>
      </c>
      <c r="C17" s="3" t="s">
        <v>33</v>
      </c>
    </row>
    <row r="18" customFormat="false" ht="15" hidden="false" customHeight="false" outlineLevel="0" collapsed="false">
      <c r="A18" s="10" t="s">
        <v>34</v>
      </c>
      <c r="B18" s="14" t="n">
        <v>112944</v>
      </c>
      <c r="C18" s="3" t="s">
        <v>35</v>
      </c>
    </row>
    <row r="19" customFormat="false" ht="15" hidden="false" customHeight="false" outlineLevel="0" collapsed="false">
      <c r="A19" s="10" t="s">
        <v>36</v>
      </c>
      <c r="B19" s="15" t="n">
        <v>1</v>
      </c>
      <c r="C19" s="3" t="s">
        <v>37</v>
      </c>
    </row>
    <row r="20" customFormat="false" ht="15" hidden="false" customHeight="false" outlineLevel="0" collapsed="false">
      <c r="A20" s="10" t="s">
        <v>38</v>
      </c>
      <c r="B20" s="13" t="n">
        <f aca="false">Inputs!B17*Inputs!B19</f>
        <v>16521</v>
      </c>
    </row>
    <row r="21" customFormat="false" ht="15" hidden="false" customHeight="false" outlineLevel="0" collapsed="false">
      <c r="A21" s="8" t="s">
        <v>39</v>
      </c>
      <c r="B21" s="9"/>
      <c r="C21" s="9"/>
    </row>
    <row r="22" customFormat="false" ht="15" hidden="false" customHeight="false" outlineLevel="0" collapsed="false">
      <c r="A22" s="10" t="s">
        <v>40</v>
      </c>
      <c r="B22" s="14" t="n">
        <v>14500</v>
      </c>
      <c r="C22" s="3" t="s">
        <v>23</v>
      </c>
    </row>
    <row r="23" customFormat="false" ht="15" hidden="false" customHeight="false" outlineLevel="0" collapsed="false">
      <c r="A23" s="10" t="s">
        <v>41</v>
      </c>
      <c r="B23" s="14" t="n">
        <v>15500</v>
      </c>
      <c r="C23" s="3" t="s">
        <v>23</v>
      </c>
    </row>
    <row r="24" customFormat="false" ht="15" hidden="false" customHeight="false" outlineLevel="0" collapsed="false">
      <c r="A24" s="10" t="s">
        <v>42</v>
      </c>
      <c r="B24" s="13" t="n">
        <f aca="false">AVERAGE(Inputs!B22,Inputs!B23)</f>
        <v>15000</v>
      </c>
    </row>
    <row r="25" customFormat="false" ht="15" hidden="false" customHeight="false" outlineLevel="0" collapsed="false">
      <c r="A25" s="10" t="s">
        <v>43</v>
      </c>
      <c r="B25" s="16" t="n">
        <v>12.75</v>
      </c>
      <c r="C25" s="3" t="s">
        <v>23</v>
      </c>
    </row>
    <row r="26" customFormat="false" ht="15" hidden="false" customHeight="false" outlineLevel="0" collapsed="false">
      <c r="A26" s="10" t="s">
        <v>44</v>
      </c>
      <c r="B26" s="16" t="n">
        <v>13.75</v>
      </c>
      <c r="C26" s="3" t="s">
        <v>23</v>
      </c>
    </row>
    <row r="27" customFormat="false" ht="15" hidden="false" customHeight="false" outlineLevel="0" collapsed="false">
      <c r="A27" s="10" t="s">
        <v>45</v>
      </c>
      <c r="B27" s="17" t="n">
        <f aca="false">AVERAGE(Inputs!B25,Inputs!B26)</f>
        <v>13.25</v>
      </c>
    </row>
    <row r="28" customFormat="false" ht="15" hidden="false" customHeight="false" outlineLevel="0" collapsed="false">
      <c r="A28" s="10" t="s">
        <v>46</v>
      </c>
      <c r="B28" s="16" t="n">
        <v>9.72</v>
      </c>
      <c r="C28" s="3" t="s">
        <v>23</v>
      </c>
    </row>
    <row r="29" customFormat="false" ht="15" hidden="false" customHeight="false" outlineLevel="0" collapsed="false">
      <c r="A29" s="10" t="s">
        <v>47</v>
      </c>
      <c r="B29" s="16" t="n">
        <v>10.72</v>
      </c>
      <c r="C29" s="3" t="s">
        <v>23</v>
      </c>
    </row>
    <row r="30" customFormat="false" ht="15" hidden="false" customHeight="false" outlineLevel="0" collapsed="false">
      <c r="A30" s="10" t="s">
        <v>48</v>
      </c>
      <c r="B30" s="17" t="n">
        <f aca="false">AVERAGE(Inputs!B28,Inputs!B29)</f>
        <v>10.22</v>
      </c>
    </row>
    <row r="31" customFormat="false" ht="15" hidden="false" customHeight="false" outlineLevel="0" collapsed="false">
      <c r="A31" s="10" t="s">
        <v>49</v>
      </c>
      <c r="B31" s="14" t="n">
        <v>11500</v>
      </c>
      <c r="C31" s="3" t="s">
        <v>23</v>
      </c>
    </row>
    <row r="32" customFormat="false" ht="15" hidden="false" customHeight="false" outlineLevel="0" collapsed="false">
      <c r="A32" s="10" t="s">
        <v>50</v>
      </c>
      <c r="B32" s="14" t="n">
        <v>12500</v>
      </c>
      <c r="C32" s="3" t="s">
        <v>23</v>
      </c>
    </row>
    <row r="33" customFormat="false" ht="15" hidden="false" customHeight="false" outlineLevel="0" collapsed="false">
      <c r="A33" s="10" t="s">
        <v>51</v>
      </c>
      <c r="B33" s="13" t="n">
        <f aca="false">AVERAGE(Inputs!B31,Inputs!B32)</f>
        <v>12000</v>
      </c>
    </row>
    <row r="34" customFormat="false" ht="15" hidden="false" customHeight="false" outlineLevel="0" collapsed="false">
      <c r="A34" s="10" t="s">
        <v>52</v>
      </c>
      <c r="B34" s="14" t="n">
        <v>18800</v>
      </c>
      <c r="C34" s="3" t="s">
        <v>53</v>
      </c>
    </row>
    <row r="35" customFormat="false" ht="15" hidden="false" customHeight="false" outlineLevel="0" collapsed="false">
      <c r="A35" s="10" t="s">
        <v>54</v>
      </c>
      <c r="B35" s="14" t="n">
        <v>11000</v>
      </c>
      <c r="C35" s="3" t="s">
        <v>55</v>
      </c>
    </row>
    <row r="36" customFormat="false" ht="15" hidden="false" customHeight="false" outlineLevel="0" collapsed="false">
      <c r="A36" s="8" t="s">
        <v>56</v>
      </c>
      <c r="B36" s="9"/>
      <c r="C36" s="9"/>
    </row>
    <row r="37" customFormat="false" ht="15" hidden="false" customHeight="false" outlineLevel="0" collapsed="false">
      <c r="A37" s="10" t="s">
        <v>57</v>
      </c>
      <c r="B37" s="13" t="n">
        <f aca="false">'9Q Free Cash Flow'!K12</f>
        <v>15145</v>
      </c>
      <c r="C37" s="3" t="s">
        <v>58</v>
      </c>
    </row>
    <row r="38" customFormat="false" ht="15" hidden="false" customHeight="false" outlineLevel="0" collapsed="false">
      <c r="A38" s="10" t="s">
        <v>59</v>
      </c>
      <c r="B38" s="13" t="n">
        <f aca="false">'9Q Free Cash Flow'!K13</f>
        <v>2571</v>
      </c>
      <c r="C38" s="3" t="s">
        <v>60</v>
      </c>
    </row>
    <row r="39" customFormat="false" ht="15" hidden="false" customHeight="false" outlineLevel="0" collapsed="false">
      <c r="A39" s="10" t="s">
        <v>61</v>
      </c>
      <c r="B39" s="13" t="n">
        <f aca="false">1962/3*4</f>
        <v>2616</v>
      </c>
      <c r="C39" s="3" t="s">
        <v>62</v>
      </c>
    </row>
    <row r="40" customFormat="false" ht="15" hidden="false" customHeight="false" outlineLevel="0" collapsed="false">
      <c r="A40" s="10" t="s">
        <v>63</v>
      </c>
      <c r="B40" s="14" t="n">
        <v>5133</v>
      </c>
      <c r="C40" s="3" t="s">
        <v>64</v>
      </c>
    </row>
    <row r="41" customFormat="false" ht="15" hidden="false" customHeight="false" outlineLevel="0" collapsed="false">
      <c r="A41" s="10" t="s">
        <v>65</v>
      </c>
      <c r="B41" s="13" t="n">
        <f aca="false">Inputs!B40/3*4</f>
        <v>6844</v>
      </c>
    </row>
    <row r="42" customFormat="false" ht="15" hidden="false" customHeight="false" outlineLevel="0" collapsed="false">
      <c r="A42" s="10" t="s">
        <v>66</v>
      </c>
      <c r="B42" s="13" t="n">
        <f aca="false">Inputs!B37-Inputs!B38+Inputs!B41</f>
        <v>19418</v>
      </c>
    </row>
    <row r="43" customFormat="false" ht="15" hidden="false" customHeight="false" outlineLevel="0" collapsed="false">
      <c r="A43" s="10" t="s">
        <v>67</v>
      </c>
      <c r="B43" s="13" t="n">
        <f aca="false">Inputs!B24-Inputs!B39+Inputs!B41</f>
        <v>19228</v>
      </c>
    </row>
    <row r="44" customFormat="false" ht="15" hidden="false" customHeight="false" outlineLevel="0" collapsed="false">
      <c r="A44" s="8" t="s">
        <v>68</v>
      </c>
      <c r="B44" s="9"/>
      <c r="C44" s="9"/>
    </row>
    <row r="45" customFormat="false" ht="15" hidden="false" customHeight="false" outlineLevel="0" collapsed="false">
      <c r="A45" s="10" t="s">
        <v>69</v>
      </c>
      <c r="B45" s="16" t="n">
        <v>0.72</v>
      </c>
      <c r="C45" s="3" t="s">
        <v>70</v>
      </c>
    </row>
    <row r="46" customFormat="false" ht="15" hidden="false" customHeight="false" outlineLevel="0" collapsed="false">
      <c r="A46" s="10" t="s">
        <v>71</v>
      </c>
      <c r="B46" s="14" t="n">
        <v>20000</v>
      </c>
      <c r="C46" s="3" t="s">
        <v>72</v>
      </c>
    </row>
    <row r="47" customFormat="false" ht="15" hidden="false" customHeight="false" outlineLevel="0" collapsed="false">
      <c r="A47" s="10" t="s">
        <v>73</v>
      </c>
      <c r="B47" s="14" t="n">
        <v>7958</v>
      </c>
      <c r="C47" s="3" t="s">
        <v>74</v>
      </c>
    </row>
    <row r="48" customFormat="false" ht="15" hidden="false" customHeight="false" outlineLevel="0" collapsed="false">
      <c r="A48" s="10" t="s">
        <v>75</v>
      </c>
      <c r="B48" s="14" t="n">
        <v>1035</v>
      </c>
      <c r="C48" s="3" t="s">
        <v>76</v>
      </c>
    </row>
    <row r="49" customFormat="false" ht="15" hidden="false" customHeight="false" outlineLevel="0" collapsed="false">
      <c r="A49" s="10" t="s">
        <v>77</v>
      </c>
      <c r="B49" s="18" t="n">
        <v>0.21</v>
      </c>
      <c r="C49" s="3" t="s">
        <v>78</v>
      </c>
    </row>
    <row r="50" customFormat="false" ht="15" hidden="false" customHeight="false" outlineLevel="0" collapsed="false">
      <c r="A50" s="10" t="s">
        <v>79</v>
      </c>
      <c r="B50" s="13" t="n">
        <f aca="false">Inputs!B33-(Inputs!B34-Inputs!B35)</f>
        <v>4200</v>
      </c>
      <c r="C50" s="3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2" min="2" style="0" width="12.5"/>
  </cols>
  <sheetData>
    <row r="1" customFormat="false" ht="17.35" hidden="false" customHeight="false" outlineLevel="0" collapsed="false">
      <c r="A1" s="1" t="s">
        <v>81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3" t="s">
        <v>82</v>
      </c>
    </row>
    <row r="4" customFormat="false" ht="23.85" hidden="false" customHeight="false" outlineLevel="0" collapsed="false">
      <c r="A4" s="6" t="s">
        <v>83</v>
      </c>
      <c r="B4" s="7" t="s">
        <v>84</v>
      </c>
      <c r="C4" s="7" t="s">
        <v>85</v>
      </c>
      <c r="D4" s="7" t="s">
        <v>86</v>
      </c>
      <c r="E4" s="7" t="s">
        <v>87</v>
      </c>
      <c r="F4" s="7" t="s">
        <v>88</v>
      </c>
      <c r="G4" s="7" t="s">
        <v>89</v>
      </c>
      <c r="H4" s="7" t="s">
        <v>90</v>
      </c>
      <c r="I4" s="7" t="s">
        <v>91</v>
      </c>
      <c r="J4" s="7" t="s">
        <v>92</v>
      </c>
    </row>
    <row r="5" customFormat="false" ht="15" hidden="false" customHeight="false" outlineLevel="0" collapsed="false">
      <c r="A5" s="10" t="s">
        <v>93</v>
      </c>
      <c r="B5" s="10" t="s">
        <v>94</v>
      </c>
      <c r="C5" s="19" t="n">
        <v>47.45</v>
      </c>
      <c r="D5" s="19" t="n">
        <v>188.63</v>
      </c>
      <c r="E5" s="19" t="n">
        <v>-3.312</v>
      </c>
      <c r="F5" s="20" t="n">
        <f aca="false">D5+E5</f>
        <v>185.318</v>
      </c>
      <c r="G5" s="19" t="n">
        <v>7.64</v>
      </c>
      <c r="H5" s="21" t="n">
        <f aca="false">IF(G5&gt;0,F5/G5,"n.m.")</f>
        <v>24.2562827225131</v>
      </c>
      <c r="I5" s="22" t="n">
        <v>6.79</v>
      </c>
      <c r="J5" s="18" t="n">
        <v>0.1534</v>
      </c>
    </row>
    <row r="6" customFormat="false" ht="15" hidden="false" customHeight="false" outlineLevel="0" collapsed="false">
      <c r="A6" s="10" t="s">
        <v>95</v>
      </c>
      <c r="B6" s="10" t="s">
        <v>96</v>
      </c>
      <c r="C6" s="19" t="n">
        <v>230.55</v>
      </c>
      <c r="D6" s="19" t="n">
        <v>429.99</v>
      </c>
      <c r="E6" s="19" t="n">
        <v>0</v>
      </c>
      <c r="F6" s="20" t="n">
        <f aca="false">D6+E6</f>
        <v>429.99</v>
      </c>
      <c r="G6" s="19" t="n">
        <v>34.46</v>
      </c>
      <c r="H6" s="21" t="n">
        <f aca="false">IF(G6&gt;0,F6/G6,"n.m.")</f>
        <v>12.477945443993</v>
      </c>
      <c r="I6" s="22" t="n">
        <v>14.24</v>
      </c>
      <c r="J6" s="18" t="n">
        <v>-0.0231</v>
      </c>
    </row>
    <row r="7" customFormat="false" ht="15" hidden="false" customHeight="false" outlineLevel="0" collapsed="false">
      <c r="A7" s="10" t="s">
        <v>97</v>
      </c>
      <c r="B7" s="10" t="s">
        <v>98</v>
      </c>
      <c r="C7" s="19" t="n">
        <v>44.35</v>
      </c>
      <c r="D7" s="19" t="n">
        <v>102.25</v>
      </c>
      <c r="E7" s="19" t="n">
        <v>-2.03</v>
      </c>
      <c r="F7" s="20" t="n">
        <f aca="false">D7+E7</f>
        <v>100.22</v>
      </c>
      <c r="G7" s="19" t="n">
        <v>7.89</v>
      </c>
      <c r="H7" s="21" t="n">
        <f aca="false">IF(G7&gt;0,F7/G7,"n.m.")</f>
        <v>12.702154626109</v>
      </c>
      <c r="I7" s="22" t="n">
        <v>10.94</v>
      </c>
      <c r="J7" s="18" t="n">
        <v>0.0395</v>
      </c>
    </row>
    <row r="8" customFormat="false" ht="15" hidden="false" customHeight="false" outlineLevel="0" collapsed="false">
      <c r="A8" s="10" t="s">
        <v>99</v>
      </c>
      <c r="B8" s="10" t="s">
        <v>100</v>
      </c>
      <c r="C8" s="19" t="n">
        <v>13.02</v>
      </c>
      <c r="D8" s="19" t="n">
        <v>36.2</v>
      </c>
      <c r="E8" s="19" t="n">
        <v>-3</v>
      </c>
      <c r="F8" s="20" t="n">
        <f aca="false">D8+E8</f>
        <v>33.2</v>
      </c>
      <c r="G8" s="19" t="n">
        <v>-0.36</v>
      </c>
      <c r="H8" s="21" t="str">
        <f aca="false">IF(G8&gt;0,F8/G8,"n.m.")</f>
        <v>n.m.</v>
      </c>
      <c r="I8" s="22" t="n">
        <v>5.01</v>
      </c>
      <c r="J8" s="10" t="s">
        <v>101</v>
      </c>
    </row>
    <row r="9" customFormat="false" ht="15" hidden="false" customHeight="false" outlineLevel="0" collapsed="false">
      <c r="A9" s="10" t="s">
        <v>102</v>
      </c>
      <c r="B9" s="10" t="s">
        <v>103</v>
      </c>
      <c r="C9" s="19" t="n">
        <v>1530</v>
      </c>
      <c r="D9" s="19" t="n">
        <v>1490</v>
      </c>
      <c r="E9" s="19" t="n">
        <v>-7.02</v>
      </c>
      <c r="F9" s="20" t="n">
        <f aca="false">D9+E9</f>
        <v>1482.98</v>
      </c>
      <c r="G9" s="19" t="n">
        <v>9.84</v>
      </c>
      <c r="H9" s="21" t="n">
        <f aca="false">IF(G9&gt;0,F9/G9,"n.m.")</f>
        <v>150.709349593496</v>
      </c>
      <c r="I9" s="22" t="n">
        <v>187.67</v>
      </c>
      <c r="J9" s="18" t="n">
        <v>0.0022</v>
      </c>
    </row>
    <row r="10" customFormat="false" ht="15" hidden="false" customHeight="false" outlineLevel="0" collapsed="false">
      <c r="A10" s="23" t="s">
        <v>104</v>
      </c>
      <c r="B10" s="23" t="s">
        <v>105</v>
      </c>
      <c r="C10" s="24" t="n">
        <f aca="false">Inputs!$B$8/1000</f>
        <v>64.20254658453</v>
      </c>
      <c r="D10" s="24" t="n">
        <f aca="false">'Sum of Parts'!B25/1000</f>
        <v>165.14</v>
      </c>
      <c r="E10" s="24" t="n">
        <f aca="false">-Inputs!$B$48/1000</f>
        <v>-1.035</v>
      </c>
      <c r="F10" s="20" t="n">
        <f aca="false">D10+E10</f>
        <v>164.105</v>
      </c>
      <c r="G10" s="24" t="n">
        <f aca="false">'Sum of Parts'!B26/1000</f>
        <v>17.77</v>
      </c>
      <c r="H10" s="25" t="n">
        <f aca="false">F10/G10</f>
        <v>9.23494653911086</v>
      </c>
      <c r="I10" s="21" t="n">
        <f aca="false">Inputs!$B$6/Inputs!$B$27</f>
        <v>5.74415094339623</v>
      </c>
      <c r="J10" s="26" t="n">
        <f aca="false">'Sum of Parts'!B18</f>
        <v>0.186908473859376</v>
      </c>
    </row>
    <row r="11" customFormat="false" ht="15" hidden="false" customHeight="false" outlineLevel="0" collapsed="false">
      <c r="A11" s="8" t="s">
        <v>106</v>
      </c>
      <c r="H11" s="27" t="n">
        <f aca="false">MEDIAN(H5:H7)</f>
        <v>12.702154626109</v>
      </c>
      <c r="I11" s="27" t="n">
        <f aca="false">MEDIAN(I5:I7)</f>
        <v>10.94</v>
      </c>
    </row>
    <row r="13" customFormat="false" ht="15" hidden="false" customHeight="false" outlineLevel="0" collapsed="false">
      <c r="A13" s="8" t="s">
        <v>107</v>
      </c>
    </row>
    <row r="14" customFormat="false" ht="15" hidden="false" customHeight="false" outlineLevel="0" collapsed="false">
      <c r="A14" s="6" t="s">
        <v>108</v>
      </c>
      <c r="B14" s="7"/>
      <c r="C14" s="7" t="s">
        <v>109</v>
      </c>
      <c r="D14" s="7" t="s">
        <v>105</v>
      </c>
      <c r="E14" s="7"/>
      <c r="F14" s="7"/>
      <c r="G14" s="7"/>
      <c r="H14" s="7"/>
      <c r="I14" s="7"/>
      <c r="J14" s="7"/>
    </row>
    <row r="15" customFormat="false" ht="15" hidden="false" customHeight="false" outlineLevel="0" collapsed="false">
      <c r="A15" s="10" t="s">
        <v>20</v>
      </c>
      <c r="C15" s="19" t="n">
        <v>47.45</v>
      </c>
      <c r="D15" s="24" t="n">
        <f aca="false">Inputs!$B$8/1000</f>
        <v>64.20254658453</v>
      </c>
    </row>
    <row r="16" customFormat="false" ht="15" hidden="false" customHeight="false" outlineLevel="0" collapsed="false">
      <c r="A16" s="10" t="s">
        <v>110</v>
      </c>
      <c r="C16" s="19" t="n">
        <v>-14.6</v>
      </c>
      <c r="D16" s="24" t="n">
        <f aca="false">-Inputs!$B$20/1000</f>
        <v>-16.521</v>
      </c>
    </row>
    <row r="17" customFormat="false" ht="15" hidden="false" customHeight="false" outlineLevel="0" collapsed="false">
      <c r="A17" s="10" t="s">
        <v>111</v>
      </c>
      <c r="C17" s="19" t="n">
        <v>23.6</v>
      </c>
      <c r="D17" s="24" t="n">
        <f aca="false">Inputs!$B$14/1000</f>
        <v>15.799</v>
      </c>
    </row>
    <row r="18" customFormat="false" ht="15" hidden="false" customHeight="false" outlineLevel="0" collapsed="false">
      <c r="A18" s="10" t="s">
        <v>112</v>
      </c>
      <c r="C18" s="19" t="n">
        <v>-22.1</v>
      </c>
      <c r="D18" s="24" t="n">
        <f aca="false">-(Inputs!$B$10+Inputs!$B$11)/1000</f>
        <v>-23.116</v>
      </c>
    </row>
    <row r="19" customFormat="false" ht="15" hidden="false" customHeight="false" outlineLevel="0" collapsed="false">
      <c r="A19" s="23" t="s">
        <v>113</v>
      </c>
      <c r="C19" s="20" t="n">
        <f aca="false">SUM(C15:C18)</f>
        <v>34.35</v>
      </c>
      <c r="D19" s="20" t="n">
        <f aca="false">SUM(D15:D18)</f>
        <v>40.36454658453</v>
      </c>
    </row>
    <row r="20" customFormat="false" ht="15" hidden="false" customHeight="false" outlineLevel="0" collapsed="false">
      <c r="A20" s="10" t="s">
        <v>114</v>
      </c>
      <c r="C20" s="19" t="n">
        <v>10.5</v>
      </c>
      <c r="D20" s="24" t="n">
        <f aca="false">Inputs!$B$24/1000</f>
        <v>15</v>
      </c>
    </row>
    <row r="21" customFormat="false" ht="15" hidden="false" customHeight="false" outlineLevel="0" collapsed="false">
      <c r="A21" s="10" t="s">
        <v>115</v>
      </c>
      <c r="C21" s="19" t="n">
        <v>-2.5</v>
      </c>
      <c r="D21" s="24" t="n">
        <f aca="false">-Inputs!$B$39/1000</f>
        <v>-2.616</v>
      </c>
    </row>
    <row r="22" customFormat="false" ht="15" hidden="false" customHeight="false" outlineLevel="0" collapsed="false">
      <c r="A22" s="10" t="s">
        <v>116</v>
      </c>
      <c r="C22" s="19" t="n">
        <v>4.656</v>
      </c>
      <c r="D22" s="24" t="n">
        <f aca="false">Inputs!$B$41/1000</f>
        <v>6.844</v>
      </c>
    </row>
    <row r="23" customFormat="false" ht="15" hidden="false" customHeight="false" outlineLevel="0" collapsed="false">
      <c r="A23" s="23" t="s">
        <v>117</v>
      </c>
      <c r="C23" s="20" t="n">
        <f aca="false">SUM(C20:C22)</f>
        <v>12.656</v>
      </c>
      <c r="D23" s="20" t="n">
        <f aca="false">SUM(D20:D22)</f>
        <v>19.228</v>
      </c>
    </row>
    <row r="24" customFormat="false" ht="15" hidden="false" customHeight="false" outlineLevel="0" collapsed="false">
      <c r="A24" s="23" t="s">
        <v>118</v>
      </c>
      <c r="C24" s="28" t="n">
        <f aca="false">C19/C23</f>
        <v>2.71412768647282</v>
      </c>
      <c r="D24" s="28" t="n">
        <f aca="false">D19/D23</f>
        <v>2.09925871565061</v>
      </c>
    </row>
    <row r="26" customFormat="false" ht="15" hidden="false" customHeight="false" outlineLevel="0" collapsed="false">
      <c r="A26" s="3" t="s">
        <v>119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12" min="2" style="0" width="12.5"/>
  </cols>
  <sheetData>
    <row r="1" customFormat="false" ht="17.35" hidden="false" customHeight="false" outlineLevel="0" collapsed="false">
      <c r="A1" s="1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3" t="s">
        <v>121</v>
      </c>
    </row>
    <row r="4" customFormat="false" ht="15" hidden="false" customHeight="false" outlineLevel="0" collapsed="false">
      <c r="A4" s="6" t="s">
        <v>122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7" t="s">
        <v>129</v>
      </c>
      <c r="I4" s="7" t="s">
        <v>130</v>
      </c>
      <c r="J4" s="7" t="s">
        <v>131</v>
      </c>
      <c r="K4" s="7" t="s">
        <v>132</v>
      </c>
      <c r="L4" s="7" t="s">
        <v>133</v>
      </c>
    </row>
    <row r="5" customFormat="false" ht="15" hidden="false" customHeight="false" outlineLevel="0" collapsed="false">
      <c r="A5" s="8" t="s">
        <v>134</v>
      </c>
    </row>
    <row r="6" customFormat="false" ht="15" hidden="false" customHeight="false" outlineLevel="0" collapsed="false">
      <c r="A6" s="10" t="s">
        <v>135</v>
      </c>
      <c r="B6" s="14" t="n">
        <v>48757</v>
      </c>
      <c r="C6" s="14" t="n">
        <v>47702</v>
      </c>
      <c r="D6" s="14" t="n">
        <v>44020</v>
      </c>
      <c r="E6" s="14" t="n">
        <v>47122</v>
      </c>
      <c r="F6" s="14" t="n">
        <v>48591</v>
      </c>
      <c r="G6" s="14" t="n">
        <v>45287</v>
      </c>
      <c r="H6" s="14" t="n">
        <v>43624</v>
      </c>
      <c r="I6" s="14" t="n">
        <v>48026</v>
      </c>
      <c r="J6" s="14" t="n">
        <v>50015</v>
      </c>
      <c r="K6" s="13" t="n">
        <f aca="false">SUM(B6:J6)</f>
        <v>423144</v>
      </c>
      <c r="L6" s="13" t="n">
        <f aca="false">SUM(G6:J6)</f>
        <v>186952</v>
      </c>
    </row>
    <row r="7" customFormat="false" ht="15" hidden="false" customHeight="false" outlineLevel="0" collapsed="false">
      <c r="A7" s="10" t="s">
        <v>136</v>
      </c>
      <c r="B7" s="14" t="n">
        <v>3056</v>
      </c>
      <c r="C7" s="14" t="n">
        <v>-2961</v>
      </c>
      <c r="D7" s="14" t="n">
        <v>2784</v>
      </c>
      <c r="E7" s="14" t="n">
        <v>1895</v>
      </c>
      <c r="F7" s="14" t="n">
        <v>1327</v>
      </c>
      <c r="G7" s="14" t="n">
        <v>-3310</v>
      </c>
      <c r="H7" s="14" t="n">
        <v>2627</v>
      </c>
      <c r="I7" s="14" t="n">
        <v>1305</v>
      </c>
      <c r="J7" s="14" t="n">
        <v>3335</v>
      </c>
      <c r="K7" s="13" t="n">
        <f aca="false">SUM(B7:J7)</f>
        <v>10058</v>
      </c>
      <c r="L7" s="13" t="n">
        <f aca="false">SUM(G7:J7)</f>
        <v>3957</v>
      </c>
    </row>
    <row r="8" customFormat="false" ht="15" hidden="false" customHeight="false" outlineLevel="0" collapsed="false">
      <c r="A8" s="10" t="s">
        <v>137</v>
      </c>
      <c r="B8" s="14" t="n">
        <v>4115</v>
      </c>
      <c r="C8" s="14" t="n">
        <v>2509</v>
      </c>
      <c r="D8" s="14" t="n">
        <v>3490</v>
      </c>
      <c r="E8" s="14" t="n">
        <v>3037</v>
      </c>
      <c r="F8" s="14" t="n">
        <v>3376</v>
      </c>
      <c r="G8" s="14" t="n">
        <v>2843</v>
      </c>
      <c r="H8" s="14" t="n">
        <v>4253</v>
      </c>
      <c r="I8" s="14" t="n">
        <v>3943</v>
      </c>
      <c r="J8" s="14" t="n">
        <v>4106</v>
      </c>
      <c r="K8" s="13" t="n">
        <f aca="false">SUM(B8:J8)</f>
        <v>31672</v>
      </c>
      <c r="L8" s="13" t="n">
        <f aca="false">SUM(G8:J8)</f>
        <v>15145</v>
      </c>
    </row>
    <row r="9" customFormat="false" ht="15" hidden="false" customHeight="false" outlineLevel="0" collapsed="false">
      <c r="A9" s="10" t="s">
        <v>138</v>
      </c>
      <c r="B9" s="14" t="n">
        <v>687</v>
      </c>
      <c r="C9" s="14" t="n">
        <v>719</v>
      </c>
      <c r="D9" s="14" t="n">
        <v>685</v>
      </c>
      <c r="E9" s="14" t="n">
        <v>704</v>
      </c>
      <c r="F9" s="14" t="n">
        <v>804</v>
      </c>
      <c r="G9" s="14" t="n">
        <v>609</v>
      </c>
      <c r="H9" s="14" t="n">
        <v>689</v>
      </c>
      <c r="I9" s="14" t="n">
        <v>605</v>
      </c>
      <c r="J9" s="14" t="n">
        <v>668</v>
      </c>
      <c r="K9" s="13" t="n">
        <f aca="false">SUM(B9:J9)</f>
        <v>6170</v>
      </c>
      <c r="L9" s="13" t="n">
        <f aca="false">SUM(G9:J9)</f>
        <v>2571</v>
      </c>
    </row>
    <row r="10" customFormat="false" ht="15" hidden="false" customHeight="false" outlineLevel="0" collapsed="false">
      <c r="A10" s="10" t="s">
        <v>139</v>
      </c>
      <c r="B10" s="16" t="n">
        <v>2.96</v>
      </c>
      <c r="C10" s="16" t="n">
        <v>1.92</v>
      </c>
      <c r="D10" s="16" t="n">
        <v>2.78</v>
      </c>
      <c r="E10" s="16" t="n">
        <v>2.53</v>
      </c>
      <c r="F10" s="16" t="n">
        <v>2.8</v>
      </c>
      <c r="G10" s="16" t="n">
        <v>2.51</v>
      </c>
      <c r="H10" s="16" t="n">
        <v>3.7</v>
      </c>
      <c r="I10" s="16" t="n">
        <v>3.57</v>
      </c>
      <c r="J10" s="16" t="n">
        <v>3.7</v>
      </c>
      <c r="K10" s="17" t="n">
        <f aca="false">SUM(B10:J10)</f>
        <v>26.47</v>
      </c>
      <c r="L10" s="17" t="n">
        <f aca="false">SUM(G10:J10)</f>
        <v>13.48</v>
      </c>
    </row>
    <row r="11" customFormat="false" ht="15" hidden="false" customHeight="false" outlineLevel="0" collapsed="false">
      <c r="A11" s="10" t="s">
        <v>140</v>
      </c>
      <c r="B11" s="13" t="n">
        <f aca="false">B8-B9</f>
        <v>3428</v>
      </c>
      <c r="C11" s="13" t="n">
        <f aca="false">C8-C9</f>
        <v>1790</v>
      </c>
      <c r="D11" s="13" t="n">
        <f aca="false">D8-D9</f>
        <v>2805</v>
      </c>
      <c r="E11" s="13" t="n">
        <f aca="false">E8-E9</f>
        <v>2333</v>
      </c>
      <c r="F11" s="13" t="n">
        <f aca="false">F8-F9</f>
        <v>2572</v>
      </c>
      <c r="G11" s="13" t="n">
        <f aca="false">G8-G9</f>
        <v>2234</v>
      </c>
      <c r="H11" s="13" t="n">
        <f aca="false">H8-H9</f>
        <v>3564</v>
      </c>
      <c r="I11" s="13" t="n">
        <f aca="false">I8-I9</f>
        <v>3338</v>
      </c>
      <c r="J11" s="13" t="n">
        <f aca="false">J8-J9</f>
        <v>3438</v>
      </c>
      <c r="K11" s="13" t="n">
        <f aca="false">K8-K9</f>
        <v>25502</v>
      </c>
      <c r="L11" s="13" t="n">
        <f aca="false">L8-L9</f>
        <v>12574</v>
      </c>
    </row>
    <row r="12" customFormat="false" ht="15" hidden="false" customHeight="false" outlineLevel="0" collapsed="false">
      <c r="A12" s="3" t="s">
        <v>141</v>
      </c>
      <c r="K12" s="13" t="n">
        <f aca="false">L8</f>
        <v>15145</v>
      </c>
    </row>
    <row r="13" customFormat="false" ht="15" hidden="false" customHeight="false" outlineLevel="0" collapsed="false">
      <c r="A13" s="3" t="s">
        <v>142</v>
      </c>
      <c r="K13" s="13" t="n">
        <f aca="false">L9</f>
        <v>2571</v>
      </c>
    </row>
    <row r="15" customFormat="false" ht="15" hidden="false" customHeight="false" outlineLevel="0" collapsed="false">
      <c r="A15" s="8" t="s">
        <v>143</v>
      </c>
    </row>
    <row r="16" customFormat="false" ht="15" hidden="false" customHeight="false" outlineLevel="0" collapsed="false">
      <c r="A16" s="10" t="s">
        <v>144</v>
      </c>
      <c r="B16" s="14" t="n">
        <v>7863</v>
      </c>
      <c r="C16" s="14" t="n">
        <v>4765</v>
      </c>
      <c r="D16" s="14" t="n">
        <v>2404</v>
      </c>
      <c r="E16" s="14" t="n">
        <v>4653</v>
      </c>
      <c r="F16" s="14" t="n">
        <v>6070</v>
      </c>
      <c r="G16" s="14" t="n">
        <v>5606</v>
      </c>
      <c r="H16" s="14" t="n">
        <v>533</v>
      </c>
      <c r="I16" s="14" t="n">
        <v>5071</v>
      </c>
      <c r="J16" s="14" t="n">
        <v>8049</v>
      </c>
      <c r="K16" s="13" t="n">
        <f aca="false">SUM(B16:J16)</f>
        <v>45014</v>
      </c>
      <c r="L16" s="13" t="n">
        <f aca="false">SUM(G16:J16)</f>
        <v>19259</v>
      </c>
    </row>
    <row r="17" customFormat="false" ht="15" hidden="false" customHeight="false" outlineLevel="0" collapsed="false">
      <c r="A17" s="10" t="s">
        <v>145</v>
      </c>
      <c r="B17" s="14" t="n">
        <v>2229</v>
      </c>
      <c r="C17" s="14" t="n">
        <v>3215</v>
      </c>
      <c r="D17" s="14" t="n">
        <v>1809</v>
      </c>
      <c r="E17" s="14" t="n">
        <v>2131</v>
      </c>
      <c r="F17" s="14" t="n">
        <v>2113</v>
      </c>
      <c r="G17" s="14" t="n">
        <v>3188</v>
      </c>
      <c r="H17" s="14" t="n">
        <v>1501</v>
      </c>
      <c r="I17" s="14" t="n">
        <v>1924</v>
      </c>
      <c r="J17" s="14" t="n">
        <v>2333</v>
      </c>
      <c r="K17" s="13" t="n">
        <f aca="false">SUM(B17:J17)</f>
        <v>20443</v>
      </c>
      <c r="L17" s="13" t="n">
        <f aca="false">SUM(G17:J17)</f>
        <v>8946</v>
      </c>
    </row>
    <row r="18" customFormat="false" ht="15" hidden="false" customHeight="false" outlineLevel="0" collapsed="false">
      <c r="A18" s="23" t="s">
        <v>146</v>
      </c>
      <c r="B18" s="29" t="n">
        <f aca="false">B16-B17</f>
        <v>5634</v>
      </c>
      <c r="C18" s="29" t="n">
        <f aca="false">C16-C17</f>
        <v>1550</v>
      </c>
      <c r="D18" s="29" t="n">
        <f aca="false">D16-D17</f>
        <v>595</v>
      </c>
      <c r="E18" s="29" t="n">
        <f aca="false">E16-E17</f>
        <v>2522</v>
      </c>
      <c r="F18" s="29" t="n">
        <f aca="false">F16-F17</f>
        <v>3957</v>
      </c>
      <c r="G18" s="29" t="n">
        <f aca="false">G16-G17</f>
        <v>2418</v>
      </c>
      <c r="H18" s="29" t="n">
        <f aca="false">H16-H17</f>
        <v>-968</v>
      </c>
      <c r="I18" s="29" t="n">
        <f aca="false">I16-I17</f>
        <v>3147</v>
      </c>
      <c r="J18" s="29" t="n">
        <f aca="false">J16-J17</f>
        <v>5716</v>
      </c>
      <c r="K18" s="29" t="n">
        <f aca="false">SUM(B18:J18)</f>
        <v>24571</v>
      </c>
      <c r="L18" s="13" t="n">
        <f aca="false">SUM(G18:J18)</f>
        <v>10313</v>
      </c>
    </row>
    <row r="19" customFormat="false" ht="15" hidden="false" customHeight="false" outlineLevel="0" collapsed="false">
      <c r="A19" s="23" t="s">
        <v>147</v>
      </c>
      <c r="B19" s="14" t="n">
        <v>5834</v>
      </c>
      <c r="C19" s="14" t="n">
        <v>1823</v>
      </c>
      <c r="D19" s="14" t="n">
        <v>811</v>
      </c>
      <c r="E19" s="14" t="n">
        <v>2827</v>
      </c>
      <c r="F19" s="14" t="n">
        <v>4201</v>
      </c>
      <c r="G19" s="14" t="n">
        <v>2755</v>
      </c>
      <c r="H19" s="14" t="n">
        <v>1269</v>
      </c>
      <c r="I19" s="14" t="n">
        <v>5033</v>
      </c>
      <c r="J19" s="14" t="n">
        <v>5882</v>
      </c>
      <c r="K19" s="29" t="n">
        <f aca="false">SUM(B19:J19)</f>
        <v>30435</v>
      </c>
      <c r="L19" s="13" t="n">
        <f aca="false">SUM(G19:J19)</f>
        <v>14939</v>
      </c>
    </row>
    <row r="20" customFormat="false" ht="15" hidden="false" customHeight="false" outlineLevel="0" collapsed="false">
      <c r="A20" s="10" t="s">
        <v>148</v>
      </c>
      <c r="B20" s="13" t="n">
        <f aca="false">B19-B18</f>
        <v>200</v>
      </c>
      <c r="C20" s="13" t="n">
        <f aca="false">C19-C18</f>
        <v>273</v>
      </c>
      <c r="D20" s="13" t="n">
        <f aca="false">D19-D18</f>
        <v>216</v>
      </c>
      <c r="E20" s="13" t="n">
        <f aca="false">E19-E18</f>
        <v>305</v>
      </c>
      <c r="F20" s="13" t="n">
        <f aca="false">F19-F18</f>
        <v>244</v>
      </c>
      <c r="G20" s="13" t="n">
        <f aca="false">G19-G18</f>
        <v>337</v>
      </c>
      <c r="H20" s="13" t="n">
        <f aca="false">H19-H18</f>
        <v>2237</v>
      </c>
      <c r="I20" s="13" t="n">
        <f aca="false">I19-I18</f>
        <v>1886</v>
      </c>
      <c r="J20" s="13" t="n">
        <f aca="false">J19-J18</f>
        <v>166</v>
      </c>
      <c r="K20" s="13" t="n">
        <f aca="false">SUM(B20:J20)</f>
        <v>5864</v>
      </c>
      <c r="L20" s="13" t="n">
        <f aca="false">SUM(G20:J20)</f>
        <v>4626</v>
      </c>
    </row>
    <row r="21" customFormat="false" ht="15" hidden="false" customHeight="false" outlineLevel="0" collapsed="false">
      <c r="A21" s="10" t="s">
        <v>149</v>
      </c>
      <c r="E21" s="13" t="n">
        <f aca="false">SUM(B19:E19)</f>
        <v>11295</v>
      </c>
      <c r="F21" s="13" t="n">
        <f aca="false">SUM(C19:F19)</f>
        <v>9662</v>
      </c>
      <c r="G21" s="13" t="n">
        <f aca="false">SUM(D19:G19)</f>
        <v>10594</v>
      </c>
      <c r="H21" s="13" t="n">
        <f aca="false">SUM(E19:H19)</f>
        <v>11052</v>
      </c>
      <c r="I21" s="13" t="n">
        <f aca="false">SUM(F19:I19)</f>
        <v>13258</v>
      </c>
      <c r="J21" s="13" t="n">
        <f aca="false">SUM(G19:J19)</f>
        <v>14939</v>
      </c>
    </row>
    <row r="23" customFormat="false" ht="15" hidden="false" customHeight="false" outlineLevel="0" collapsed="false">
      <c r="A23" s="8" t="s">
        <v>150</v>
      </c>
    </row>
    <row r="24" customFormat="false" ht="15" hidden="false" customHeight="false" outlineLevel="0" collapsed="false">
      <c r="A24" s="10" t="s">
        <v>151</v>
      </c>
      <c r="B24" s="14" t="n">
        <v>1032</v>
      </c>
      <c r="C24" s="14" t="n">
        <v>4686</v>
      </c>
      <c r="D24" s="14" t="n">
        <v>2012</v>
      </c>
      <c r="E24" s="14" t="n">
        <v>0</v>
      </c>
      <c r="F24" s="14" t="n">
        <v>1500</v>
      </c>
      <c r="G24" s="14" t="n">
        <v>2500</v>
      </c>
      <c r="H24" s="14" t="n">
        <v>800</v>
      </c>
      <c r="I24" s="14" t="n">
        <v>2000</v>
      </c>
      <c r="J24" s="14" t="n">
        <v>2500</v>
      </c>
      <c r="K24" s="13" t="n">
        <f aca="false">SUM(B24:J24)</f>
        <v>17030</v>
      </c>
      <c r="L24" s="13" t="n">
        <f aca="false">SUM(G24:J24)</f>
        <v>7800</v>
      </c>
    </row>
    <row r="25" customFormat="false" ht="15" hidden="false" customHeight="false" outlineLevel="0" collapsed="false">
      <c r="A25" s="10" t="s">
        <v>152</v>
      </c>
      <c r="B25" s="14" t="n">
        <v>133</v>
      </c>
      <c r="C25" s="14" t="n">
        <v>123</v>
      </c>
      <c r="D25" s="14" t="n">
        <v>116</v>
      </c>
      <c r="E25" s="14" t="n">
        <v>144</v>
      </c>
      <c r="F25" s="14" t="n">
        <v>141</v>
      </c>
      <c r="G25" s="14" t="n">
        <v>137</v>
      </c>
      <c r="H25" s="14" t="n">
        <v>164</v>
      </c>
      <c r="I25" s="14" t="n">
        <v>160</v>
      </c>
      <c r="J25" s="14" t="n">
        <v>156</v>
      </c>
      <c r="K25" s="13" t="n">
        <f aca="false">SUM(B25:J25)</f>
        <v>1274</v>
      </c>
      <c r="L25" s="13" t="n">
        <f aca="false">SUM(G25:J25)</f>
        <v>617</v>
      </c>
    </row>
    <row r="26" customFormat="false" ht="15" hidden="false" customHeight="false" outlineLevel="0" collapsed="false">
      <c r="A26" s="10" t="s">
        <v>153</v>
      </c>
      <c r="B26" s="14" t="n">
        <v>76</v>
      </c>
      <c r="C26" s="14" t="n">
        <v>791</v>
      </c>
      <c r="D26" s="14" t="n">
        <v>66</v>
      </c>
      <c r="E26" s="14" t="n">
        <v>505</v>
      </c>
      <c r="F26" s="14" t="n">
        <v>1291</v>
      </c>
      <c r="G26" s="14" t="n">
        <v>61</v>
      </c>
      <c r="H26" s="14" t="n">
        <v>261</v>
      </c>
      <c r="I26" s="14" t="n">
        <v>39</v>
      </c>
      <c r="J26" s="14" t="n">
        <v>15</v>
      </c>
      <c r="K26" s="13" t="n">
        <f aca="false">SUM(B26:J26)</f>
        <v>3105</v>
      </c>
      <c r="L26" s="13" t="n">
        <f aca="false">SUM(G26:J26)</f>
        <v>376</v>
      </c>
    </row>
    <row r="27" customFormat="false" ht="15" hidden="false" customHeight="false" outlineLevel="0" collapsed="false">
      <c r="A27" s="23" t="s">
        <v>154</v>
      </c>
      <c r="B27" s="29" t="n">
        <f aca="false">SUM(B24:B26)</f>
        <v>1241</v>
      </c>
      <c r="C27" s="29" t="n">
        <f aca="false">SUM(C24:C26)</f>
        <v>5600</v>
      </c>
      <c r="D27" s="29" t="n">
        <f aca="false">SUM(D24:D26)</f>
        <v>2194</v>
      </c>
      <c r="E27" s="29" t="n">
        <f aca="false">SUM(E24:E26)</f>
        <v>649</v>
      </c>
      <c r="F27" s="29" t="n">
        <f aca="false">SUM(F24:F26)</f>
        <v>2932</v>
      </c>
      <c r="G27" s="29" t="n">
        <f aca="false">SUM(G24:G26)</f>
        <v>2698</v>
      </c>
      <c r="H27" s="29" t="n">
        <f aca="false">SUM(H24:H26)</f>
        <v>1225</v>
      </c>
      <c r="I27" s="29" t="n">
        <f aca="false">SUM(I24:I26)</f>
        <v>2199</v>
      </c>
      <c r="J27" s="29" t="n">
        <f aca="false">SUM(J24:J26)</f>
        <v>2671</v>
      </c>
      <c r="K27" s="29" t="n">
        <f aca="false">SUM(K24:K26)</f>
        <v>21409</v>
      </c>
      <c r="L27" s="29" t="n">
        <f aca="false">SUM(L24:L26)</f>
        <v>8793</v>
      </c>
    </row>
    <row r="28" customFormat="false" ht="15" hidden="false" customHeight="false" outlineLevel="0" collapsed="false">
      <c r="A28" s="10" t="s">
        <v>155</v>
      </c>
      <c r="B28" s="13" t="n">
        <f aca="false">B19-B27</f>
        <v>4593</v>
      </c>
      <c r="C28" s="13" t="n">
        <f aca="false">C19-C27</f>
        <v>-3777</v>
      </c>
      <c r="D28" s="13" t="n">
        <f aca="false">D19-D27</f>
        <v>-1383</v>
      </c>
      <c r="E28" s="13" t="n">
        <f aca="false">E19-E27</f>
        <v>2178</v>
      </c>
      <c r="F28" s="13" t="n">
        <f aca="false">F19-F27</f>
        <v>1269</v>
      </c>
      <c r="G28" s="13" t="n">
        <f aca="false">G19-G27</f>
        <v>57</v>
      </c>
      <c r="H28" s="13" t="n">
        <f aca="false">H19-H27</f>
        <v>44</v>
      </c>
      <c r="I28" s="13" t="n">
        <f aca="false">I19-I27</f>
        <v>2834</v>
      </c>
      <c r="J28" s="13" t="n">
        <f aca="false">J19-J27</f>
        <v>3211</v>
      </c>
      <c r="K28" s="13" t="n">
        <f aca="false">K19-K27</f>
        <v>9026</v>
      </c>
      <c r="L28" s="13" t="n">
        <f aca="false">L19-L27</f>
        <v>6146</v>
      </c>
    </row>
    <row r="29" customFormat="false" ht="15" hidden="false" customHeight="false" outlineLevel="0" collapsed="false">
      <c r="A29" s="10" t="s">
        <v>156</v>
      </c>
      <c r="B29" s="26" t="n">
        <f aca="false">IF(B27=0,0,B24/B27)</f>
        <v>0.831587429492345</v>
      </c>
      <c r="C29" s="26" t="n">
        <f aca="false">IF(C27=0,0,C24/C27)</f>
        <v>0.836785714285714</v>
      </c>
      <c r="D29" s="26" t="n">
        <f aca="false">IF(D27=0,0,D24/D27)</f>
        <v>0.917046490428441</v>
      </c>
      <c r="E29" s="26" t="n">
        <f aca="false">IF(E27=0,0,E24/E27)</f>
        <v>0</v>
      </c>
      <c r="F29" s="26" t="n">
        <f aca="false">IF(F27=0,0,F24/F27)</f>
        <v>0.511596180081855</v>
      </c>
      <c r="G29" s="26" t="n">
        <f aca="false">IF(G27=0,0,G24/G27)</f>
        <v>0.926612305411416</v>
      </c>
      <c r="H29" s="26" t="n">
        <f aca="false">IF(H27=0,0,H24/H27)</f>
        <v>0.653061224489796</v>
      </c>
      <c r="I29" s="26" t="n">
        <f aca="false">IF(I27=0,0,I24/I27)</f>
        <v>0.909504320145521</v>
      </c>
      <c r="J29" s="26" t="n">
        <f aca="false">IF(J27=0,0,J24/J27)</f>
        <v>0.935979034069637</v>
      </c>
      <c r="K29" s="26" t="n">
        <f aca="false">IF(K27=0,0,K24/K27)</f>
        <v>0.795459853332711</v>
      </c>
      <c r="L29" s="26" t="n">
        <f aca="false">IF(L27=0,0,L24/L27)</f>
        <v>0.887069259638349</v>
      </c>
    </row>
    <row r="30" customFormat="false" ht="15" hidden="false" customHeight="false" outlineLevel="0" collapsed="false">
      <c r="A30" s="10" t="s">
        <v>157</v>
      </c>
      <c r="B30" s="26" t="n">
        <f aca="false">IF(B19=0,0,B27/B19)</f>
        <v>0.212718546451834</v>
      </c>
      <c r="C30" s="26" t="n">
        <f aca="false">IF(C19=0,0,C27/C19)</f>
        <v>3.07185957213385</v>
      </c>
      <c r="D30" s="26" t="n">
        <f aca="false">IF(D19=0,0,D27/D19)</f>
        <v>2.70530209617756</v>
      </c>
      <c r="E30" s="26" t="n">
        <f aca="false">IF(E19=0,0,E27/E19)</f>
        <v>0.229571984435798</v>
      </c>
      <c r="F30" s="26" t="n">
        <f aca="false">IF(F19=0,0,F27/F19)</f>
        <v>0.69792906450845</v>
      </c>
      <c r="G30" s="26" t="n">
        <f aca="false">IF(G19=0,0,G27/G19)</f>
        <v>0.979310344827586</v>
      </c>
      <c r="H30" s="26" t="n">
        <f aca="false">IF(H19=0,0,H27/H19)</f>
        <v>0.965327029156816</v>
      </c>
      <c r="I30" s="26" t="n">
        <f aca="false">IF(I19=0,0,I27/I19)</f>
        <v>0.436916352076296</v>
      </c>
      <c r="J30" s="26" t="n">
        <f aca="false">IF(J19=0,0,J27/J19)</f>
        <v>0.45409724583475</v>
      </c>
      <c r="K30" s="26" t="n">
        <f aca="false">IF(K19=0,0,K27/K19)</f>
        <v>0.703433546903237</v>
      </c>
      <c r="L30" s="26" t="n">
        <f aca="false">IF(L19=0,0,L27/L19)</f>
        <v>0.58859361403039</v>
      </c>
    </row>
    <row r="32" customFormat="false" ht="15" hidden="false" customHeight="false" outlineLevel="0" collapsed="false">
      <c r="A32" s="8" t="s">
        <v>158</v>
      </c>
    </row>
    <row r="33" customFormat="false" ht="15" hidden="false" customHeight="false" outlineLevel="0" collapsed="false">
      <c r="A33" s="10" t="s">
        <v>159</v>
      </c>
      <c r="B33" s="30" t="n">
        <v>22</v>
      </c>
      <c r="C33" s="30" t="n">
        <v>87</v>
      </c>
      <c r="D33" s="30" t="n">
        <v>43</v>
      </c>
      <c r="E33" s="30" t="n">
        <v>0</v>
      </c>
      <c r="F33" s="30" t="n">
        <v>27</v>
      </c>
      <c r="G33" s="30" t="n">
        <v>34</v>
      </c>
      <c r="H33" s="30" t="n">
        <v>11</v>
      </c>
      <c r="I33" s="30" t="n">
        <v>25</v>
      </c>
      <c r="J33" s="30" t="n">
        <v>29</v>
      </c>
      <c r="K33" s="31" t="n">
        <f aca="false">SUM(B33:J33)</f>
        <v>278</v>
      </c>
    </row>
    <row r="34" customFormat="false" ht="15" hidden="false" customHeight="false" outlineLevel="0" collapsed="false">
      <c r="A34" s="10" t="s">
        <v>160</v>
      </c>
      <c r="B34" s="17" t="n">
        <f aca="false">IF(B33=0,0,B24/B33)</f>
        <v>46.9090909090909</v>
      </c>
      <c r="C34" s="17" t="n">
        <f aca="false">IF(C33=0,0,C24/C33)</f>
        <v>53.8620689655172</v>
      </c>
      <c r="D34" s="17" t="n">
        <f aca="false">IF(D33=0,0,D24/D33)</f>
        <v>46.7906976744186</v>
      </c>
      <c r="E34" s="17" t="n">
        <f aca="false">IF(E33=0,0,E24/E33)</f>
        <v>0</v>
      </c>
      <c r="F34" s="17" t="n">
        <f aca="false">IF(F33=0,0,F24/F33)</f>
        <v>55.5555555555556</v>
      </c>
      <c r="G34" s="17" t="n">
        <f aca="false">IF(G33=0,0,G24/G33)</f>
        <v>73.5294117647059</v>
      </c>
      <c r="H34" s="17" t="n">
        <f aca="false">IF(H33=0,0,H24/H33)</f>
        <v>72.7272727272727</v>
      </c>
      <c r="I34" s="17" t="n">
        <f aca="false">IF(I33=0,0,I24/I33)</f>
        <v>80</v>
      </c>
      <c r="J34" s="17" t="n">
        <f aca="false">IF(J33=0,0,J24/J33)</f>
        <v>86.2068965517241</v>
      </c>
      <c r="K34" s="17" t="n">
        <f aca="false">IF(K33=0,0,K24/K33)</f>
        <v>61.2589928057554</v>
      </c>
    </row>
    <row r="35" customFormat="false" ht="15" hidden="false" customHeight="false" outlineLevel="0" collapsed="false">
      <c r="A35" s="10" t="s">
        <v>161</v>
      </c>
      <c r="B35" s="30" t="n">
        <v>1100</v>
      </c>
      <c r="C35" s="30" t="n">
        <v>995</v>
      </c>
      <c r="D35" s="30" t="n">
        <v>966</v>
      </c>
      <c r="E35" s="30" t="n">
        <v>957</v>
      </c>
      <c r="F35" s="30" t="n">
        <v>933</v>
      </c>
      <c r="G35" s="30" t="n">
        <v>904</v>
      </c>
      <c r="H35" s="30" t="n">
        <v>902</v>
      </c>
      <c r="I35" s="30" t="n">
        <v>877</v>
      </c>
      <c r="J35" s="30" t="n">
        <v>849</v>
      </c>
      <c r="K35" s="32" t="n">
        <f aca="false">J35-B35</f>
        <v>-251</v>
      </c>
    </row>
    <row r="36" customFormat="false" ht="15" hidden="false" customHeight="false" outlineLevel="0" collapsed="false">
      <c r="A36" s="10" t="s">
        <v>162</v>
      </c>
      <c r="B36" s="30" t="n">
        <v>1131</v>
      </c>
      <c r="C36" s="30" t="n">
        <v>1075</v>
      </c>
      <c r="D36" s="30" t="n">
        <v>1002</v>
      </c>
      <c r="E36" s="30" t="n">
        <v>976</v>
      </c>
      <c r="F36" s="30" t="n">
        <v>964</v>
      </c>
      <c r="G36" s="30" t="n">
        <v>949</v>
      </c>
      <c r="H36" s="30" t="n">
        <v>926</v>
      </c>
      <c r="I36" s="30" t="n">
        <v>910</v>
      </c>
      <c r="J36" s="30" t="n">
        <v>887</v>
      </c>
    </row>
    <row r="37" customFormat="false" ht="15" hidden="false" customHeight="false" outlineLevel="0" collapsed="false">
      <c r="A37" s="10" t="s">
        <v>163</v>
      </c>
      <c r="B37" s="26" t="n">
        <f aca="false">1-B35/$B$35</f>
        <v>0</v>
      </c>
      <c r="C37" s="26" t="n">
        <f aca="false">1-C35/$B$35</f>
        <v>0.0954545454545455</v>
      </c>
      <c r="D37" s="26" t="n">
        <f aca="false">1-D35/$B$35</f>
        <v>0.121818181818182</v>
      </c>
      <c r="E37" s="26" t="n">
        <f aca="false">1-E35/$B$35</f>
        <v>0.13</v>
      </c>
      <c r="F37" s="26" t="n">
        <f aca="false">1-F35/$B$35</f>
        <v>0.151818181818182</v>
      </c>
      <c r="G37" s="26" t="n">
        <f aca="false">1-G35/$B$35</f>
        <v>0.178181818181818</v>
      </c>
      <c r="H37" s="26" t="n">
        <f aca="false">1-H35/$B$35</f>
        <v>0.18</v>
      </c>
      <c r="I37" s="26" t="n">
        <f aca="false">1-I35/$B$35</f>
        <v>0.202727272727273</v>
      </c>
      <c r="J37" s="26" t="n">
        <f aca="false">1-J35/$B$35</f>
        <v>0.228181818181818</v>
      </c>
      <c r="K37" s="33" t="n">
        <f aca="false">J37</f>
        <v>0.228181818181818</v>
      </c>
    </row>
    <row r="38" customFormat="false" ht="15" hidden="false" customHeight="false" outlineLevel="0" collapsed="false">
      <c r="A38" s="23" t="s">
        <v>164</v>
      </c>
      <c r="K38" s="29" t="n">
        <f aca="false">K33*Inputs!$B$6</f>
        <v>21158.58</v>
      </c>
    </row>
    <row r="39" customFormat="false" ht="15" hidden="false" customHeight="false" outlineLevel="0" collapsed="false">
      <c r="A39" s="23" t="s">
        <v>165</v>
      </c>
      <c r="K39" s="33" t="n">
        <f aca="false">K38/K24-1</f>
        <v>0.242429829712272</v>
      </c>
    </row>
    <row r="41" customFormat="false" ht="15" hidden="false" customHeight="false" outlineLevel="0" collapsed="false">
      <c r="A41" s="3" t="s">
        <v>166</v>
      </c>
    </row>
    <row r="42" customFormat="false" ht="15" hidden="false" customHeight="false" outlineLevel="0" collapsed="false">
      <c r="A42" s="3" t="s">
        <v>167</v>
      </c>
    </row>
    <row r="43" customFormat="false" ht="15" hidden="false" customHeight="false" outlineLevel="0" collapsed="false">
      <c r="A43" s="3" t="s">
        <v>168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2.5"/>
    <col collapsed="false" customWidth="true" hidden="false" outlineLevel="0" max="3" min="3" style="0" width="64"/>
    <col collapsed="false" customWidth="true" hidden="false" outlineLevel="0" max="12" min="4" style="0" width="12.5"/>
  </cols>
  <sheetData>
    <row r="1" customFormat="false" ht="17.35" hidden="false" customHeight="false" outlineLevel="0" collapsed="false">
      <c r="A1" s="1" t="s">
        <v>169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170</v>
      </c>
    </row>
    <row r="4" customFormat="false" ht="15" hidden="false" customHeight="false" outlineLevel="0" collapsed="false">
      <c r="A4" s="6" t="s">
        <v>122</v>
      </c>
      <c r="B4" s="7" t="s">
        <v>13</v>
      </c>
      <c r="C4" s="7" t="s">
        <v>14</v>
      </c>
    </row>
    <row r="5" customFormat="false" ht="15" hidden="false" customHeight="false" outlineLevel="0" collapsed="false">
      <c r="A5" s="10" t="s">
        <v>20</v>
      </c>
      <c r="B5" s="34" t="n">
        <f aca="false">Inputs!$B$8</f>
        <v>64202.54658453</v>
      </c>
      <c r="C5" s="3" t="s">
        <v>171</v>
      </c>
    </row>
    <row r="6" customFormat="false" ht="15" hidden="false" customHeight="false" outlineLevel="0" collapsed="false">
      <c r="A6" s="10" t="s">
        <v>172</v>
      </c>
      <c r="B6" s="34" t="n">
        <f aca="false">-Inputs!$B$20</f>
        <v>-16521</v>
      </c>
      <c r="C6" s="3" t="s">
        <v>173</v>
      </c>
    </row>
    <row r="7" customFormat="false" ht="15" hidden="false" customHeight="false" outlineLevel="0" collapsed="false">
      <c r="A7" s="23" t="s">
        <v>174</v>
      </c>
      <c r="B7" s="29" t="n">
        <f aca="false">B5+B6</f>
        <v>47681.54658453</v>
      </c>
    </row>
    <row r="8" customFormat="false" ht="15" hidden="false" customHeight="false" outlineLevel="0" collapsed="false">
      <c r="A8" s="10" t="s">
        <v>175</v>
      </c>
      <c r="B8" s="34" t="n">
        <f aca="false">Inputs!$B$14</f>
        <v>15799</v>
      </c>
      <c r="C8" s="3" t="s">
        <v>176</v>
      </c>
    </row>
    <row r="9" customFormat="false" ht="15" hidden="false" customHeight="false" outlineLevel="0" collapsed="false">
      <c r="A9" s="10" t="s">
        <v>177</v>
      </c>
      <c r="B9" s="34" t="n">
        <f aca="false">-(Inputs!$B$10+Inputs!$B$11)</f>
        <v>-23116</v>
      </c>
    </row>
    <row r="10" customFormat="false" ht="15" hidden="false" customHeight="false" outlineLevel="0" collapsed="false">
      <c r="A10" s="23" t="s">
        <v>178</v>
      </c>
      <c r="B10" s="29" t="n">
        <f aca="false">SUM(B7:B9)</f>
        <v>40364.54658453</v>
      </c>
      <c r="C10" s="3" t="s">
        <v>179</v>
      </c>
    </row>
    <row r="12" customFormat="false" ht="15" hidden="false" customHeight="false" outlineLevel="0" collapsed="false">
      <c r="A12" s="10" t="s">
        <v>180</v>
      </c>
      <c r="B12" s="34" t="n">
        <f aca="false">Inputs!$B$42</f>
        <v>19418</v>
      </c>
      <c r="C12" s="3" t="s">
        <v>181</v>
      </c>
    </row>
    <row r="13" customFormat="false" ht="15" hidden="false" customHeight="false" outlineLevel="0" collapsed="false">
      <c r="A13" s="10" t="s">
        <v>117</v>
      </c>
      <c r="B13" s="34" t="n">
        <f aca="false">Inputs!$B$43</f>
        <v>19228</v>
      </c>
      <c r="C13" s="3" t="s">
        <v>182</v>
      </c>
    </row>
    <row r="14" customFormat="false" ht="15" hidden="false" customHeight="false" outlineLevel="0" collapsed="false">
      <c r="A14" s="23" t="s">
        <v>183</v>
      </c>
      <c r="B14" s="35" t="n">
        <f aca="false">B10/B12</f>
        <v>2.07871802371666</v>
      </c>
    </row>
    <row r="15" customFormat="false" ht="15" hidden="false" customHeight="false" outlineLevel="0" collapsed="false">
      <c r="A15" s="23" t="s">
        <v>184</v>
      </c>
      <c r="B15" s="35" t="n">
        <f aca="false">B10/B13</f>
        <v>2.09925871565061</v>
      </c>
    </row>
    <row r="16" customFormat="false" ht="15" hidden="false" customHeight="false" outlineLevel="0" collapsed="false">
      <c r="A16" s="10" t="s">
        <v>185</v>
      </c>
      <c r="B16" s="34" t="n">
        <f aca="false">Inputs!$B$33</f>
        <v>12000</v>
      </c>
    </row>
    <row r="17" customFormat="false" ht="15" hidden="false" customHeight="false" outlineLevel="0" collapsed="false">
      <c r="A17" s="23" t="s">
        <v>186</v>
      </c>
      <c r="B17" s="33" t="n">
        <f aca="false">B16/B7</f>
        <v>0.251669689000678</v>
      </c>
    </row>
    <row r="18" customFormat="false" ht="15" hidden="false" customHeight="false" outlineLevel="0" collapsed="false">
      <c r="A18" s="10" t="s">
        <v>187</v>
      </c>
      <c r="B18" s="26" t="n">
        <f aca="false">B16/B5</f>
        <v>0.186908473859376</v>
      </c>
    </row>
    <row r="19" customFormat="false" ht="15" hidden="false" customHeight="false" outlineLevel="0" collapsed="false">
      <c r="A19" s="10" t="s">
        <v>188</v>
      </c>
      <c r="B19" s="26" t="n">
        <f aca="false">(Inputs!$B$34-Inputs!$B$35)/B7</f>
        <v>0.163585297850441</v>
      </c>
      <c r="C19" s="3" t="s">
        <v>189</v>
      </c>
    </row>
    <row r="21" customFormat="false" ht="15" hidden="false" customHeight="false" outlineLevel="0" collapsed="false">
      <c r="A21" s="23" t="s">
        <v>190</v>
      </c>
    </row>
    <row r="22" customFormat="false" ht="15" hidden="false" customHeight="false" outlineLevel="0" collapsed="false">
      <c r="A22" s="10" t="s">
        <v>191</v>
      </c>
      <c r="B22" s="13" t="n">
        <f aca="false">B10+Inputs!$B$47</f>
        <v>48322.54658453</v>
      </c>
      <c r="C22" s="3" t="s">
        <v>192</v>
      </c>
    </row>
    <row r="23" customFormat="false" ht="15" hidden="false" customHeight="false" outlineLevel="0" collapsed="false">
      <c r="A23" s="23" t="s">
        <v>193</v>
      </c>
      <c r="B23" s="35" t="n">
        <f aca="false">B22/B13</f>
        <v>2.51313431373674</v>
      </c>
    </row>
    <row r="25" customFormat="false" ht="15" hidden="false" customHeight="false" outlineLevel="0" collapsed="false">
      <c r="A25" s="10" t="s">
        <v>194</v>
      </c>
      <c r="B25" s="14" t="n">
        <v>165140</v>
      </c>
      <c r="C25" s="3" t="s">
        <v>195</v>
      </c>
    </row>
    <row r="26" customFormat="false" ht="15" hidden="false" customHeight="false" outlineLevel="0" collapsed="false">
      <c r="A26" s="10" t="s">
        <v>196</v>
      </c>
      <c r="B26" s="14" t="n">
        <v>17770</v>
      </c>
      <c r="C26" s="3" t="s">
        <v>197</v>
      </c>
    </row>
    <row r="27" customFormat="false" ht="15" hidden="false" customHeight="false" outlineLevel="0" collapsed="false">
      <c r="A27" s="10" t="s">
        <v>198</v>
      </c>
      <c r="B27" s="28" t="n">
        <f aca="false">B25/B26</f>
        <v>9.2931907709623</v>
      </c>
      <c r="C27" s="3" t="s">
        <v>199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2" min="2" style="0" width="12.5"/>
  </cols>
  <sheetData>
    <row r="1" customFormat="false" ht="17.35" hidden="false" customHeight="false" outlineLevel="0" collapsed="false">
      <c r="A1" s="1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false" outlineLevel="0" collapsed="false">
      <c r="A2" s="3" t="s">
        <v>201</v>
      </c>
    </row>
    <row r="4" customFormat="false" ht="23.85" hidden="false" customHeight="false" outlineLevel="0" collapsed="false">
      <c r="A4" s="6" t="s">
        <v>14</v>
      </c>
      <c r="B4" s="7" t="s">
        <v>202</v>
      </c>
      <c r="C4" s="7" t="s">
        <v>203</v>
      </c>
      <c r="D4" s="7" t="s">
        <v>204</v>
      </c>
      <c r="E4" s="7" t="s">
        <v>205</v>
      </c>
      <c r="F4" s="7" t="s">
        <v>206</v>
      </c>
      <c r="G4" s="7" t="s">
        <v>207</v>
      </c>
      <c r="H4" s="7" t="s">
        <v>208</v>
      </c>
      <c r="I4" s="7" t="s">
        <v>209</v>
      </c>
      <c r="J4" s="7" t="s">
        <v>210</v>
      </c>
      <c r="K4" s="7" t="s">
        <v>211</v>
      </c>
    </row>
    <row r="5" customFormat="false" ht="15" hidden="false" customHeight="false" outlineLevel="0" collapsed="false">
      <c r="A5" s="10" t="s">
        <v>212</v>
      </c>
      <c r="B5" s="36" t="n">
        <v>0.068</v>
      </c>
      <c r="C5" s="10" t="s">
        <v>213</v>
      </c>
      <c r="D5" s="37" t="n">
        <v>2027</v>
      </c>
      <c r="E5" s="14" t="n">
        <v>1000</v>
      </c>
      <c r="F5" s="13" t="n">
        <f aca="false">E5*B5</f>
        <v>68</v>
      </c>
      <c r="G5" s="38" t="n">
        <v>101.26</v>
      </c>
      <c r="H5" s="39" t="n">
        <v>0.0515</v>
      </c>
      <c r="I5" s="13" t="n">
        <f aca="false">E5*G5/100</f>
        <v>1012.6</v>
      </c>
      <c r="J5" s="40" t="n">
        <f aca="false">D5+(K5-1)/12-2026.8</f>
        <v>0.950000000000046</v>
      </c>
      <c r="K5" s="37" t="n">
        <v>10</v>
      </c>
    </row>
    <row r="6" customFormat="false" ht="15" hidden="false" customHeight="false" outlineLevel="0" collapsed="false">
      <c r="A6" s="10" t="s">
        <v>212</v>
      </c>
      <c r="B6" s="36" t="n">
        <v>0.042</v>
      </c>
      <c r="C6" s="10" t="s">
        <v>213</v>
      </c>
      <c r="D6" s="37" t="n">
        <v>2027</v>
      </c>
      <c r="E6" s="14" t="n">
        <v>750</v>
      </c>
      <c r="F6" s="13" t="n">
        <f aca="false">E6*B6</f>
        <v>31.5</v>
      </c>
      <c r="G6" s="38" t="n">
        <v>99.16</v>
      </c>
      <c r="H6" s="39" t="n">
        <v>0.0512</v>
      </c>
      <c r="I6" s="13" t="n">
        <f aca="false">E6*G6/100</f>
        <v>743.7</v>
      </c>
      <c r="J6" s="40" t="n">
        <f aca="false">D6+(K6-1)/12-2026.8</f>
        <v>0.950000000000046</v>
      </c>
      <c r="K6" s="37" t="n">
        <v>10</v>
      </c>
    </row>
    <row r="7" customFormat="false" ht="15" hidden="false" customHeight="false" outlineLevel="0" collapsed="false">
      <c r="A7" s="10" t="s">
        <v>212</v>
      </c>
      <c r="B7" s="36" t="n">
        <v>0.0535</v>
      </c>
      <c r="C7" s="10" t="s">
        <v>214</v>
      </c>
      <c r="D7" s="37" t="n">
        <v>2028</v>
      </c>
      <c r="E7" s="14" t="n">
        <v>750</v>
      </c>
      <c r="F7" s="13" t="n">
        <f aca="false">E7*B7</f>
        <v>40.125</v>
      </c>
      <c r="G7" s="38" t="n">
        <v>100.16</v>
      </c>
      <c r="H7" s="39" t="n">
        <v>0.0521</v>
      </c>
      <c r="I7" s="13" t="n">
        <f aca="false">E7*G7/100</f>
        <v>751.2</v>
      </c>
      <c r="J7" s="40" t="n">
        <f aca="false">D7+(K7-1)/12-2026.8</f>
        <v>1.45000000000005</v>
      </c>
      <c r="K7" s="37" t="n">
        <v>4</v>
      </c>
    </row>
    <row r="8" customFormat="false" ht="15" hidden="false" customHeight="false" outlineLevel="0" collapsed="false">
      <c r="A8" s="10" t="s">
        <v>212</v>
      </c>
      <c r="B8" s="36" t="n">
        <v>0.05</v>
      </c>
      <c r="C8" s="10" t="s">
        <v>215</v>
      </c>
      <c r="D8" s="37" t="n">
        <v>2028</v>
      </c>
      <c r="E8" s="14" t="n">
        <v>750</v>
      </c>
      <c r="F8" s="13" t="n">
        <f aca="false">E8*B8</f>
        <v>37.5</v>
      </c>
      <c r="G8" s="38" t="n">
        <v>99.39</v>
      </c>
      <c r="H8" s="39" t="n">
        <v>0.0532</v>
      </c>
      <c r="I8" s="13" t="n">
        <f aca="false">E8*G8/100</f>
        <v>745.425</v>
      </c>
      <c r="J8" s="40" t="n">
        <f aca="false">D8+(K8-1)/12-2026.8</f>
        <v>1.95000000000005</v>
      </c>
      <c r="K8" s="37" t="n">
        <v>10</v>
      </c>
    </row>
    <row r="9" customFormat="false" ht="15" hidden="false" customHeight="false" outlineLevel="0" collapsed="false">
      <c r="A9" s="10" t="s">
        <v>212</v>
      </c>
      <c r="B9" s="36" t="n">
        <v>0.054</v>
      </c>
      <c r="C9" s="10" t="s">
        <v>216</v>
      </c>
      <c r="D9" s="37" t="n">
        <v>2029</v>
      </c>
      <c r="E9" s="14" t="n">
        <v>1000</v>
      </c>
      <c r="F9" s="13" t="n">
        <f aca="false">E9*B9</f>
        <v>54</v>
      </c>
      <c r="G9" s="38" t="n">
        <v>99.66</v>
      </c>
      <c r="H9" s="39" t="n">
        <v>0.0552</v>
      </c>
      <c r="I9" s="13" t="n">
        <f aca="false">E9*G9/100</f>
        <v>996.6</v>
      </c>
      <c r="J9" s="40" t="n">
        <f aca="false">D9+(K9-1)/12-2026.8</f>
        <v>2.95000000000005</v>
      </c>
      <c r="K9" s="37" t="n">
        <v>10</v>
      </c>
    </row>
    <row r="10" customFormat="false" ht="15" hidden="false" customHeight="false" outlineLevel="0" collapsed="false">
      <c r="A10" s="10" t="s">
        <v>212</v>
      </c>
      <c r="B10" s="36" t="n">
        <v>0.05625</v>
      </c>
      <c r="C10" s="10" t="s">
        <v>217</v>
      </c>
      <c r="D10" s="37" t="n">
        <v>2030</v>
      </c>
      <c r="E10" s="14" t="n">
        <v>750</v>
      </c>
      <c r="F10" s="13" t="n">
        <f aca="false">E10*B10</f>
        <v>42.1875</v>
      </c>
      <c r="G10" s="38" t="n">
        <v>99.94</v>
      </c>
      <c r="H10" s="39" t="n">
        <v>0.0564</v>
      </c>
      <c r="I10" s="13" t="n">
        <f aca="false">E10*G10/100</f>
        <v>749.55</v>
      </c>
      <c r="J10" s="40" t="n">
        <f aca="false">D10+(K10-1)/12-2026.8</f>
        <v>3.45000000000005</v>
      </c>
      <c r="K10" s="37" t="n">
        <v>4</v>
      </c>
    </row>
    <row r="11" customFormat="false" ht="15" hidden="false" customHeight="false" outlineLevel="0" collapsed="false">
      <c r="A11" s="10" t="s">
        <v>212</v>
      </c>
      <c r="B11" s="36" t="n">
        <v>0.056</v>
      </c>
      <c r="C11" s="10" t="s">
        <v>218</v>
      </c>
      <c r="D11" s="37" t="n">
        <v>2032</v>
      </c>
      <c r="E11" s="14" t="n">
        <v>1250</v>
      </c>
      <c r="F11" s="13" t="n">
        <f aca="false">E11*B11</f>
        <v>70</v>
      </c>
      <c r="G11" s="38" t="n">
        <v>98.85</v>
      </c>
      <c r="H11" s="39" t="n">
        <v>0.0583</v>
      </c>
      <c r="I11" s="13" t="n">
        <f aca="false">E11*G11/100</f>
        <v>1235.625</v>
      </c>
      <c r="J11" s="40" t="n">
        <f aca="false">D11+(K11-1)/12-2026.8</f>
        <v>5.95000000000005</v>
      </c>
      <c r="K11" s="37" t="n">
        <v>10</v>
      </c>
    </row>
    <row r="12" customFormat="false" ht="15" hidden="false" customHeight="false" outlineLevel="0" collapsed="false">
      <c r="A12" s="10" t="s">
        <v>212</v>
      </c>
      <c r="B12" s="36" t="n">
        <v>0.05</v>
      </c>
      <c r="C12" s="10" t="s">
        <v>219</v>
      </c>
      <c r="D12" s="37" t="n">
        <v>2035</v>
      </c>
      <c r="E12" s="14" t="n">
        <v>750</v>
      </c>
      <c r="F12" s="13" t="n">
        <f aca="false">E12*B12</f>
        <v>37.5</v>
      </c>
      <c r="G12" s="38" t="n">
        <v>91.77</v>
      </c>
      <c r="H12" s="39" t="n">
        <v>0.0627</v>
      </c>
      <c r="I12" s="13" t="n">
        <f aca="false">E12*G12/100</f>
        <v>688.275</v>
      </c>
      <c r="J12" s="40" t="n">
        <f aca="false">D12+(K12-1)/12-2026.8</f>
        <v>8.45000000000005</v>
      </c>
      <c r="K12" s="37" t="n">
        <v>4</v>
      </c>
    </row>
    <row r="13" customFormat="false" ht="15" hidden="false" customHeight="false" outlineLevel="0" collapsed="false">
      <c r="A13" s="10" t="s">
        <v>212</v>
      </c>
      <c r="B13" s="36" t="n">
        <v>0.0625</v>
      </c>
      <c r="C13" s="10" t="s">
        <v>219</v>
      </c>
      <c r="D13" s="37" t="n">
        <v>2035</v>
      </c>
      <c r="E13" s="14" t="n">
        <v>500</v>
      </c>
      <c r="F13" s="13" t="n">
        <f aca="false">E13*B13</f>
        <v>31.25</v>
      </c>
      <c r="G13" s="38" t="n">
        <v>99.66</v>
      </c>
      <c r="H13" s="39" t="n">
        <v>0.063</v>
      </c>
      <c r="I13" s="13" t="n">
        <f aca="false">E13*G13/100</f>
        <v>498.3</v>
      </c>
      <c r="J13" s="40" t="n">
        <f aca="false">D13+(K13-1)/12-2026.8</f>
        <v>8.45000000000005</v>
      </c>
      <c r="K13" s="37" t="n">
        <v>4</v>
      </c>
    </row>
    <row r="14" customFormat="false" ht="15" hidden="false" customHeight="false" outlineLevel="0" collapsed="false">
      <c r="A14" s="10" t="s">
        <v>212</v>
      </c>
      <c r="B14" s="36" t="n">
        <v>0.066</v>
      </c>
      <c r="C14" s="10" t="s">
        <v>220</v>
      </c>
      <c r="D14" s="37" t="n">
        <v>2036</v>
      </c>
      <c r="E14" s="14" t="n">
        <v>1250</v>
      </c>
      <c r="F14" s="13" t="n">
        <f aca="false">E14*B14</f>
        <v>82.5</v>
      </c>
      <c r="G14" s="38" t="n">
        <v>101.83</v>
      </c>
      <c r="H14" s="39" t="n">
        <v>0.0632</v>
      </c>
      <c r="I14" s="13" t="n">
        <f aca="false">E14*G14/100</f>
        <v>1272.875</v>
      </c>
      <c r="J14" s="40" t="n">
        <f aca="false">D14+(K14-1)/12-2026.8</f>
        <v>9.45000000000005</v>
      </c>
      <c r="K14" s="37" t="n">
        <v>4</v>
      </c>
    </row>
    <row r="15" customFormat="false" ht="15" hidden="false" customHeight="false" outlineLevel="0" collapsed="false">
      <c r="A15" s="10" t="s">
        <v>212</v>
      </c>
      <c r="B15" s="36" t="n">
        <v>0.0515</v>
      </c>
      <c r="C15" s="10" t="s">
        <v>221</v>
      </c>
      <c r="D15" s="37" t="n">
        <v>2038</v>
      </c>
      <c r="E15" s="14" t="n">
        <v>1000</v>
      </c>
      <c r="F15" s="13" t="n">
        <f aca="false">E15*B15</f>
        <v>51.5</v>
      </c>
      <c r="G15" s="38" t="n">
        <v>89.43</v>
      </c>
      <c r="H15" s="39" t="n">
        <v>0.0647</v>
      </c>
      <c r="I15" s="13" t="n">
        <f aca="false">E15*G15/100</f>
        <v>894.3</v>
      </c>
      <c r="J15" s="40" t="n">
        <f aca="false">D15+(K15-1)/12-2026.8</f>
        <v>11.45</v>
      </c>
      <c r="K15" s="37" t="n">
        <v>4</v>
      </c>
    </row>
    <row r="16" customFormat="false" ht="15" hidden="false" customHeight="false" outlineLevel="0" collapsed="false">
      <c r="A16" s="10" t="s">
        <v>212</v>
      </c>
      <c r="B16" s="36" t="n">
        <v>0.0625</v>
      </c>
      <c r="C16" s="10" t="s">
        <v>222</v>
      </c>
      <c r="D16" s="37" t="n">
        <v>2043</v>
      </c>
      <c r="E16" s="14" t="n">
        <v>1500</v>
      </c>
      <c r="F16" s="13" t="n">
        <f aca="false">E16*B16</f>
        <v>93.75</v>
      </c>
      <c r="G16" s="38" t="n">
        <v>94.17</v>
      </c>
      <c r="H16" s="39" t="n">
        <v>0.0683</v>
      </c>
      <c r="I16" s="13" t="n">
        <f aca="false">E16*G16/100</f>
        <v>1412.55</v>
      </c>
      <c r="J16" s="40" t="n">
        <f aca="false">D16+(K16-1)/12-2026.8</f>
        <v>16.95</v>
      </c>
      <c r="K16" s="37" t="n">
        <v>10</v>
      </c>
    </row>
    <row r="17" customFormat="false" ht="15" hidden="false" customHeight="false" outlineLevel="0" collapsed="false">
      <c r="A17" s="10" t="s">
        <v>212</v>
      </c>
      <c r="B17" s="36" t="n">
        <v>0.052</v>
      </c>
      <c r="C17" s="10" t="s">
        <v>223</v>
      </c>
      <c r="D17" s="37" t="n">
        <v>2045</v>
      </c>
      <c r="E17" s="14" t="n">
        <v>1250</v>
      </c>
      <c r="F17" s="13" t="n">
        <f aca="false">E17*B17</f>
        <v>65</v>
      </c>
      <c r="G17" s="38" t="n">
        <v>82.62</v>
      </c>
      <c r="H17" s="39" t="n">
        <v>0.0687</v>
      </c>
      <c r="I17" s="13" t="n">
        <f aca="false">E17*G17/100</f>
        <v>1032.75</v>
      </c>
      <c r="J17" s="40" t="n">
        <f aca="false">D17+(K17-1)/12-2026.8</f>
        <v>18.45</v>
      </c>
      <c r="K17" s="37" t="n">
        <v>4</v>
      </c>
    </row>
    <row r="18" customFormat="false" ht="15" hidden="false" customHeight="false" outlineLevel="0" collapsed="false">
      <c r="A18" s="10" t="s">
        <v>212</v>
      </c>
      <c r="B18" s="36" t="n">
        <v>0.0675</v>
      </c>
      <c r="C18" s="10" t="s">
        <v>224</v>
      </c>
      <c r="D18" s="37" t="n">
        <v>2046</v>
      </c>
      <c r="E18" s="14" t="n">
        <v>750</v>
      </c>
      <c r="F18" s="13" t="n">
        <f aca="false">E18*B18</f>
        <v>50.625</v>
      </c>
      <c r="G18" s="38" t="n">
        <v>98.54</v>
      </c>
      <c r="H18" s="39" t="n">
        <v>0.0688</v>
      </c>
      <c r="I18" s="13" t="n">
        <f aca="false">E18*G18/100</f>
        <v>739.05</v>
      </c>
      <c r="J18" s="40" t="n">
        <f aca="false">D18+(K18-1)/12-2026.8</f>
        <v>19.45</v>
      </c>
      <c r="K18" s="37" t="n">
        <v>4</v>
      </c>
    </row>
    <row r="19" customFormat="false" ht="15" hidden="false" customHeight="false" outlineLevel="0" collapsed="false">
      <c r="A19" s="10" t="s">
        <v>212</v>
      </c>
      <c r="B19" s="36" t="n">
        <v>0.054</v>
      </c>
      <c r="C19" s="10" t="s">
        <v>225</v>
      </c>
      <c r="D19" s="37" t="n">
        <v>2048</v>
      </c>
      <c r="E19" s="14" t="n">
        <v>750</v>
      </c>
      <c r="F19" s="13" t="n">
        <f aca="false">E19*B19</f>
        <v>40.5</v>
      </c>
      <c r="G19" s="38" t="n">
        <v>83.61</v>
      </c>
      <c r="H19" s="39" t="n">
        <v>0.0687</v>
      </c>
      <c r="I19" s="13" t="n">
        <f aca="false">E19*G19/100</f>
        <v>627.075</v>
      </c>
      <c r="J19" s="40" t="n">
        <f aca="false">D19+(K19-1)/12-2026.8</f>
        <v>21.45</v>
      </c>
      <c r="K19" s="37" t="n">
        <v>4</v>
      </c>
    </row>
    <row r="20" customFormat="false" ht="15" hidden="false" customHeight="false" outlineLevel="0" collapsed="false">
      <c r="A20" s="10" t="s">
        <v>212</v>
      </c>
      <c r="B20" s="36" t="n">
        <v>0.0595</v>
      </c>
      <c r="C20" s="10" t="s">
        <v>226</v>
      </c>
      <c r="D20" s="37" t="n">
        <v>2049</v>
      </c>
      <c r="E20" s="14" t="n">
        <v>900</v>
      </c>
      <c r="F20" s="13" t="n">
        <f aca="false">E20*B20</f>
        <v>53.55</v>
      </c>
      <c r="G20" s="38" t="n">
        <v>89.42</v>
      </c>
      <c r="H20" s="39" t="n">
        <v>0.0688</v>
      </c>
      <c r="I20" s="13" t="n">
        <f aca="false">E20*G20/100</f>
        <v>804.78</v>
      </c>
      <c r="J20" s="40" t="n">
        <f aca="false">D20+(K20-1)/12-2026.8</f>
        <v>22.45</v>
      </c>
      <c r="K20" s="37" t="n">
        <v>4</v>
      </c>
    </row>
    <row r="21" customFormat="false" ht="15" hidden="false" customHeight="false" outlineLevel="0" collapsed="false">
      <c r="A21" s="8" t="s">
        <v>227</v>
      </c>
      <c r="B21" s="41" t="n">
        <f aca="false">F21/E21</f>
        <v>0.0570125838926174</v>
      </c>
      <c r="E21" s="42" t="n">
        <f aca="false">SUM(E5:E20)</f>
        <v>14900</v>
      </c>
      <c r="F21" s="42" t="n">
        <f aca="false">SUM(F5:F20)</f>
        <v>849.4875</v>
      </c>
      <c r="G21" s="43" t="n">
        <f aca="false">I21/E21*100</f>
        <v>95.3332550335571</v>
      </c>
      <c r="H21" s="41" t="n">
        <f aca="false">SUMPRODUCT(H5:H20,I5:I20)/I21</f>
        <v>0.0611012127010476</v>
      </c>
      <c r="I21" s="42" t="n">
        <f aca="false">SUM(I5:I20)</f>
        <v>14204.655</v>
      </c>
      <c r="J21" s="44" t="n">
        <f aca="false">SUMPRODUCT(J5:J20,E5:E20)/E21</f>
        <v>10.0926174496645</v>
      </c>
    </row>
    <row r="23" customFormat="false" ht="15" hidden="false" customHeight="false" outlineLevel="0" collapsed="false">
      <c r="A23" s="10" t="s">
        <v>228</v>
      </c>
      <c r="E23" s="34" t="n">
        <f aca="false">Inputs!$B$14</f>
        <v>15799</v>
      </c>
    </row>
    <row r="24" customFormat="false" ht="15" hidden="false" customHeight="false" outlineLevel="0" collapsed="false">
      <c r="A24" s="10" t="s">
        <v>229</v>
      </c>
      <c r="E24" s="13" t="n">
        <f aca="false">E23-E21</f>
        <v>899</v>
      </c>
    </row>
    <row r="26" customFormat="false" ht="15" hidden="false" customHeight="false" outlineLevel="0" collapsed="false">
      <c r="A26" s="8" t="s">
        <v>230</v>
      </c>
    </row>
    <row r="27" customFormat="false" ht="15" hidden="false" customHeight="false" outlineLevel="0" collapsed="false">
      <c r="A27" s="6" t="s">
        <v>231</v>
      </c>
      <c r="B27" s="7" t="s">
        <v>232</v>
      </c>
      <c r="C27" s="7" t="s">
        <v>233</v>
      </c>
      <c r="D27" s="7" t="s">
        <v>234</v>
      </c>
      <c r="E27" s="7" t="s">
        <v>235</v>
      </c>
      <c r="F27" s="7" t="s">
        <v>236</v>
      </c>
      <c r="G27" s="7" t="s">
        <v>237</v>
      </c>
      <c r="H27" s="7" t="s">
        <v>238</v>
      </c>
      <c r="I27" s="7" t="s">
        <v>239</v>
      </c>
      <c r="J27" s="7" t="s">
        <v>240</v>
      </c>
    </row>
    <row r="28" customFormat="false" ht="15" hidden="false" customHeight="false" outlineLevel="0" collapsed="false">
      <c r="A28" s="10" t="s">
        <v>241</v>
      </c>
      <c r="B28" s="13" t="n">
        <f aca="false">SUMIF($D$5:$D$20,2027,$E$5:$E$20)</f>
        <v>1750</v>
      </c>
      <c r="C28" s="13" t="n">
        <f aca="false">SUMIF($D$5:$D$20,2028,$E$5:$E$20)</f>
        <v>1500</v>
      </c>
      <c r="D28" s="13" t="n">
        <f aca="false">SUMIF($D$5:$D$20,2029,$E$5:$E$20)</f>
        <v>1000</v>
      </c>
      <c r="E28" s="13" t="n">
        <f aca="false">SUMIF($D$5:$D$20,2030,$E$5:$E$20)</f>
        <v>750</v>
      </c>
      <c r="F28" s="13" t="n">
        <f aca="false">SUMIF($D$5:$D$20,2032,$E$5:$E$20)</f>
        <v>1250</v>
      </c>
      <c r="G28" s="13" t="n">
        <f aca="false">SUMIF($D$5:$D$20,2035,$E$5:$E$20)</f>
        <v>1250</v>
      </c>
      <c r="H28" s="13" t="n">
        <f aca="false">SUMIF($D$5:$D$20,2036,$E$5:$E$20)</f>
        <v>1250</v>
      </c>
      <c r="I28" s="13" t="n">
        <f aca="false">SUMIF($D$5:$D$20,2038,$E$5:$E$20)</f>
        <v>1000</v>
      </c>
      <c r="J28" s="13" t="n">
        <f aca="false">SUMIF($D$5:$D$20,2043,$E$5:$E$20)</f>
        <v>1500</v>
      </c>
    </row>
    <row r="29" customFormat="false" ht="15" hidden="false" customHeight="false" outlineLevel="0" collapsed="false">
      <c r="A29" s="10" t="s">
        <v>242</v>
      </c>
      <c r="B29" s="13" t="n">
        <f aca="false">SUM($B$28:B28)</f>
        <v>1750</v>
      </c>
      <c r="C29" s="13" t="n">
        <f aca="false">SUM($B$28:C28)</f>
        <v>3250</v>
      </c>
      <c r="D29" s="13" t="n">
        <f aca="false">SUM($B$28:D28)</f>
        <v>4250</v>
      </c>
      <c r="E29" s="13" t="n">
        <f aca="false">SUM($B$28:E28)</f>
        <v>5000</v>
      </c>
      <c r="F29" s="13" t="n">
        <f aca="false">SUM($B$28:F28)</f>
        <v>6250</v>
      </c>
      <c r="G29" s="13" t="n">
        <f aca="false">SUM($B$28:G28)</f>
        <v>7500</v>
      </c>
      <c r="H29" s="13" t="n">
        <f aca="false">SUM($B$28:H28)</f>
        <v>8750</v>
      </c>
      <c r="I29" s="13" t="n">
        <f aca="false">SUM($B$28:I28)</f>
        <v>9750</v>
      </c>
      <c r="J29" s="13" t="n">
        <f aca="false">SUM($B$28:J28)</f>
        <v>11250</v>
      </c>
    </row>
    <row r="30" customFormat="false" ht="15" hidden="false" customHeight="false" outlineLevel="0" collapsed="false">
      <c r="A30" s="10" t="s">
        <v>243</v>
      </c>
      <c r="B30" s="26" t="n">
        <f aca="false">B28/$E$21</f>
        <v>0.11744966442953</v>
      </c>
      <c r="C30" s="26" t="n">
        <f aca="false">C28/$E$21</f>
        <v>0.100671140939597</v>
      </c>
      <c r="D30" s="26" t="n">
        <f aca="false">D28/$E$21</f>
        <v>0.0671140939597315</v>
      </c>
      <c r="E30" s="26" t="n">
        <f aca="false">E28/$E$21</f>
        <v>0.0503355704697987</v>
      </c>
      <c r="F30" s="26" t="n">
        <f aca="false">F28/$E$21</f>
        <v>0.0838926174496644</v>
      </c>
      <c r="G30" s="26" t="n">
        <f aca="false">G28/$E$21</f>
        <v>0.0838926174496644</v>
      </c>
      <c r="H30" s="26" t="n">
        <f aca="false">H28/$E$21</f>
        <v>0.0838926174496644</v>
      </c>
      <c r="I30" s="26" t="n">
        <f aca="false">I28/$E$21</f>
        <v>0.0671140939597315</v>
      </c>
      <c r="J30" s="26" t="n">
        <f aca="false">J28/$E$21</f>
        <v>0.100671140939597</v>
      </c>
    </row>
    <row r="32" customFormat="false" ht="15" hidden="false" customHeight="false" outlineLevel="0" collapsed="false">
      <c r="A32" s="6" t="s">
        <v>231</v>
      </c>
      <c r="B32" s="7" t="s">
        <v>244</v>
      </c>
      <c r="C32" s="7" t="s">
        <v>245</v>
      </c>
      <c r="D32" s="7" t="s">
        <v>246</v>
      </c>
      <c r="E32" s="7" t="s">
        <v>247</v>
      </c>
      <c r="F32" s="7" t="s">
        <v>248</v>
      </c>
    </row>
    <row r="33" customFormat="false" ht="15" hidden="false" customHeight="false" outlineLevel="0" collapsed="false">
      <c r="A33" s="10" t="s">
        <v>241</v>
      </c>
      <c r="B33" s="13" t="n">
        <f aca="false">SUMIF($D$5:$D$20,2045,$E$5:$E$20)</f>
        <v>1250</v>
      </c>
      <c r="C33" s="13" t="n">
        <f aca="false">SUMIF($D$5:$D$20,2046,$E$5:$E$20)</f>
        <v>750</v>
      </c>
      <c r="D33" s="13" t="n">
        <f aca="false">SUMIF($D$5:$D$20,2048,$E$5:$E$20)</f>
        <v>750</v>
      </c>
      <c r="E33" s="13" t="n">
        <f aca="false">SUMIF($D$5:$D$20,2049,$E$5:$E$20)</f>
        <v>900</v>
      </c>
      <c r="F33" s="29" t="n">
        <f aca="false">SUM(B28:J28)+SUM(B33:E33)</f>
        <v>14900</v>
      </c>
    </row>
    <row r="35" customFormat="false" ht="15" hidden="false" customHeight="false" outlineLevel="0" collapsed="false">
      <c r="A35" s="8" t="s">
        <v>249</v>
      </c>
    </row>
    <row r="36" customFormat="false" ht="15" hidden="false" customHeight="false" outlineLevel="0" collapsed="false">
      <c r="A36" s="10" t="s">
        <v>250</v>
      </c>
      <c r="B36" s="13" t="n">
        <f aca="false">B28+C28</f>
        <v>3250</v>
      </c>
    </row>
    <row r="37" customFormat="false" ht="15" hidden="false" customHeight="false" outlineLevel="0" collapsed="false">
      <c r="A37" s="10" t="s">
        <v>251</v>
      </c>
      <c r="B37" s="13" t="n">
        <f aca="false">Inputs!$B$33-Inputs!$B$45*Inputs!$B$7</f>
        <v>11392.64441544</v>
      </c>
    </row>
    <row r="38" customFormat="false" ht="15" hidden="false" customHeight="false" outlineLevel="0" collapsed="false">
      <c r="A38" s="10" t="s">
        <v>252</v>
      </c>
      <c r="B38" s="45" t="n">
        <f aca="false">B36/B37</f>
        <v>0.285271784274721</v>
      </c>
    </row>
    <row r="39" customFormat="false" ht="15" hidden="false" customHeight="false" outlineLevel="0" collapsed="false">
      <c r="A39" s="10" t="s">
        <v>253</v>
      </c>
      <c r="B39" s="35" t="n">
        <f aca="false">(Inputs!$B$10+Inputs!$B$11)/E21</f>
        <v>1.55140939597315</v>
      </c>
    </row>
    <row r="40" customFormat="false" ht="15" hidden="false" customHeight="false" outlineLevel="0" collapsed="false">
      <c r="A40" s="10" t="s">
        <v>254</v>
      </c>
      <c r="B40" s="46" t="n">
        <f aca="false">H21</f>
        <v>0.0611012127010476</v>
      </c>
      <c r="C40" s="26" t="n">
        <f aca="false">'Sum of Parts'!B17</f>
        <v>0.251669689000678</v>
      </c>
    </row>
    <row r="41" customFormat="false" ht="15" hidden="false" customHeight="false" outlineLevel="0" collapsed="false">
      <c r="A41" s="3" t="s">
        <v>255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12" min="2" style="0" width="12.5"/>
  </cols>
  <sheetData>
    <row r="1" customFormat="false" ht="17.35" hidden="false" customHeight="false" outlineLevel="0" collapsed="false">
      <c r="A1" s="1" t="s">
        <v>256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257</v>
      </c>
    </row>
    <row r="4" customFormat="false" ht="15" hidden="false" customHeight="false" outlineLevel="0" collapsed="false">
      <c r="A4" s="6" t="s">
        <v>258</v>
      </c>
      <c r="B4" s="7" t="s">
        <v>259</v>
      </c>
      <c r="C4" s="7" t="s">
        <v>260</v>
      </c>
      <c r="D4" s="7" t="s">
        <v>261</v>
      </c>
    </row>
    <row r="5" customFormat="false" ht="15" hidden="false" customHeight="false" outlineLevel="0" collapsed="false">
      <c r="A5" s="10" t="s">
        <v>262</v>
      </c>
      <c r="B5" s="47" t="n">
        <v>16000</v>
      </c>
      <c r="C5" s="48" t="n">
        <f aca="false">Inputs!$B$43</f>
        <v>19228</v>
      </c>
      <c r="D5" s="47" t="n">
        <v>20500</v>
      </c>
    </row>
    <row r="6" customFormat="false" ht="15" hidden="false" customHeight="false" outlineLevel="0" collapsed="false">
      <c r="A6" s="10" t="s">
        <v>263</v>
      </c>
      <c r="B6" s="49" t="n">
        <v>2</v>
      </c>
      <c r="C6" s="49" t="n">
        <v>2.5</v>
      </c>
      <c r="D6" s="49" t="n">
        <v>4</v>
      </c>
    </row>
    <row r="7" customFormat="false" ht="15" hidden="false" customHeight="false" outlineLevel="0" collapsed="false">
      <c r="A7" s="23" t="s">
        <v>264</v>
      </c>
      <c r="B7" s="29" t="n">
        <f aca="false">B5*B6</f>
        <v>32000</v>
      </c>
      <c r="C7" s="29" t="n">
        <f aca="false">C5*C6</f>
        <v>48070</v>
      </c>
      <c r="D7" s="29" t="n">
        <f aca="false">D5*D6</f>
        <v>82000</v>
      </c>
    </row>
    <row r="8" customFormat="false" ht="15" hidden="false" customHeight="false" outlineLevel="0" collapsed="false">
      <c r="A8" s="10" t="s">
        <v>265</v>
      </c>
      <c r="B8" s="34" t="n">
        <f aca="false">Inputs!$B$15</f>
        <v>7317</v>
      </c>
      <c r="C8" s="34" t="n">
        <f aca="false">Inputs!$B$15</f>
        <v>7317</v>
      </c>
      <c r="D8" s="34" t="n">
        <f aca="false">Inputs!$B$15</f>
        <v>7317</v>
      </c>
    </row>
    <row r="9" customFormat="false" ht="15" hidden="false" customHeight="false" outlineLevel="0" collapsed="false">
      <c r="A9" s="10" t="s">
        <v>266</v>
      </c>
      <c r="B9" s="34" t="n">
        <f aca="false">Inputs!$B$20</f>
        <v>16521</v>
      </c>
      <c r="C9" s="34" t="n">
        <f aca="false">Inputs!$B$20</f>
        <v>16521</v>
      </c>
      <c r="D9" s="34" t="n">
        <f aca="false">Inputs!$B$20</f>
        <v>16521</v>
      </c>
    </row>
    <row r="10" customFormat="false" ht="15" hidden="false" customHeight="false" outlineLevel="0" collapsed="false">
      <c r="A10" s="23" t="s">
        <v>267</v>
      </c>
      <c r="B10" s="29" t="n">
        <f aca="false">SUM(B7:B9)</f>
        <v>55838</v>
      </c>
      <c r="C10" s="29" t="n">
        <f aca="false">SUM(C7:C9)</f>
        <v>71908</v>
      </c>
      <c r="D10" s="29" t="n">
        <f aca="false">SUM(D7:D9)</f>
        <v>105838</v>
      </c>
    </row>
    <row r="11" customFormat="false" ht="15" hidden="false" customHeight="false" outlineLevel="0" collapsed="false">
      <c r="A11" s="8" t="s">
        <v>268</v>
      </c>
      <c r="B11" s="50" t="n">
        <f aca="false">B10/Inputs!$B$7</f>
        <v>66.1941060921098</v>
      </c>
      <c r="C11" s="50" t="n">
        <f aca="false">C10/Inputs!$B$7</f>
        <v>85.244560709041</v>
      </c>
      <c r="D11" s="50" t="n">
        <f aca="false">D10/Inputs!$B$7</f>
        <v>125.467455864764</v>
      </c>
    </row>
    <row r="12" customFormat="false" ht="15" hidden="false" customHeight="false" outlineLevel="0" collapsed="false">
      <c r="A12" s="10" t="s">
        <v>269</v>
      </c>
      <c r="B12" s="26" t="n">
        <f aca="false">B11/Inputs!$B$6-1</f>
        <v>-0.130283719720013</v>
      </c>
      <c r="C12" s="26" t="n">
        <f aca="false">C11/Inputs!$B$6-1</f>
        <v>0.120017878190001</v>
      </c>
      <c r="D12" s="26" t="n">
        <f aca="false">D11/Inputs!$B$6-1</f>
        <v>0.648501588027387</v>
      </c>
    </row>
    <row r="13" customFormat="false" ht="15" hidden="false" customHeight="false" outlineLevel="0" collapsed="false">
      <c r="A13" s="10" t="s">
        <v>270</v>
      </c>
      <c r="B13" s="51" t="n">
        <v>0.25</v>
      </c>
      <c r="C13" s="51" t="n">
        <v>0.5</v>
      </c>
      <c r="D13" s="51" t="n">
        <v>0.25</v>
      </c>
    </row>
    <row r="14" customFormat="false" ht="15" hidden="false" customHeight="false" outlineLevel="0" collapsed="false">
      <c r="A14" s="10" t="s">
        <v>271</v>
      </c>
      <c r="B14" s="26" t="n">
        <f aca="false">SUM(B13:D13)</f>
        <v>1</v>
      </c>
    </row>
    <row r="16" customFormat="false" ht="15" hidden="false" customHeight="false" outlineLevel="0" collapsed="false">
      <c r="A16" s="52" t="s">
        <v>272</v>
      </c>
      <c r="B16" s="53" t="n">
        <f aca="false">SUMPRODUCT(B11:D11,B13:D13)</f>
        <v>90.5376708437391</v>
      </c>
    </row>
    <row r="17" customFormat="false" ht="15" hidden="false" customHeight="false" outlineLevel="0" collapsed="false">
      <c r="A17" s="23" t="s">
        <v>273</v>
      </c>
      <c r="B17" s="33" t="n">
        <f aca="false">B16/Inputs!$B$6-1</f>
        <v>0.189563406171844</v>
      </c>
    </row>
    <row r="19" customFormat="false" ht="15" hidden="false" customHeight="false" outlineLevel="0" collapsed="false">
      <c r="A19" s="8" t="s">
        <v>274</v>
      </c>
    </row>
    <row r="20" customFormat="false" ht="15" hidden="false" customHeight="false" outlineLevel="0" collapsed="false">
      <c r="A20" s="10" t="s">
        <v>275</v>
      </c>
      <c r="B20" s="54" t="n">
        <f aca="false">Inputs!$B$43/Inputs!$B$7</f>
        <v>22.7941593885721</v>
      </c>
    </row>
    <row r="21" customFormat="false" ht="15" hidden="false" customHeight="false" outlineLevel="0" collapsed="false">
      <c r="A21" s="10" t="s">
        <v>276</v>
      </c>
      <c r="B21" s="26" t="n">
        <f aca="false">B20/Inputs!$B$6</f>
        <v>0.29948967794734</v>
      </c>
    </row>
    <row r="23" customFormat="false" ht="15" hidden="false" customHeight="false" outlineLevel="0" collapsed="false">
      <c r="A23" s="8" t="s">
        <v>277</v>
      </c>
    </row>
    <row r="24" customFormat="false" ht="15" hidden="false" customHeight="false" outlineLevel="0" collapsed="false">
      <c r="A24" s="6" t="s">
        <v>278</v>
      </c>
      <c r="B24" s="7" t="s">
        <v>90</v>
      </c>
      <c r="C24" s="7" t="s">
        <v>279</v>
      </c>
      <c r="D24" s="7" t="s">
        <v>280</v>
      </c>
      <c r="E24" s="7" t="s">
        <v>281</v>
      </c>
      <c r="F24" s="7" t="s">
        <v>282</v>
      </c>
    </row>
    <row r="25" customFormat="false" ht="15" hidden="false" customHeight="false" outlineLevel="0" collapsed="false">
      <c r="A25" s="10" t="s">
        <v>283</v>
      </c>
      <c r="B25" s="55" t="n">
        <f aca="false">'Sum of Parts'!B15</f>
        <v>2.09925871565061</v>
      </c>
      <c r="C25" s="13" t="n">
        <f aca="false">B25*Inputs!$B$43</f>
        <v>40364.54658453</v>
      </c>
      <c r="D25" s="13" t="n">
        <f aca="false">C25+Inputs!$B$15+Inputs!$B$20</f>
        <v>64202.54658453</v>
      </c>
      <c r="E25" s="54" t="n">
        <f aca="false">D25/Inputs!$B$7</f>
        <v>76.11</v>
      </c>
      <c r="F25" s="26" t="n">
        <f aca="false">E25/Inputs!$B$6-1</f>
        <v>0</v>
      </c>
    </row>
    <row r="26" customFormat="false" ht="15" hidden="false" customHeight="false" outlineLevel="0" collapsed="false">
      <c r="A26" s="10" t="s">
        <v>284</v>
      </c>
      <c r="B26" s="56" t="n">
        <v>2.5</v>
      </c>
      <c r="C26" s="13" t="n">
        <f aca="false">B26*Inputs!$B$43</f>
        <v>48070</v>
      </c>
      <c r="D26" s="13" t="n">
        <f aca="false">C26+Inputs!$B$15+Inputs!$B$20</f>
        <v>71908</v>
      </c>
      <c r="E26" s="54" t="n">
        <f aca="false">D26/Inputs!$B$7</f>
        <v>85.244560709041</v>
      </c>
      <c r="F26" s="26" t="n">
        <f aca="false">E26/Inputs!$B$6-1</f>
        <v>0.120017878190001</v>
      </c>
    </row>
    <row r="27" customFormat="false" ht="15" hidden="false" customHeight="false" outlineLevel="0" collapsed="false">
      <c r="A27" s="10" t="s">
        <v>285</v>
      </c>
      <c r="B27" s="55" t="n">
        <f aca="false">Comps!C24</f>
        <v>2.71412768647282</v>
      </c>
      <c r="C27" s="13" t="n">
        <f aca="false">B27*Inputs!$B$43</f>
        <v>52187.2471554994</v>
      </c>
      <c r="D27" s="13" t="n">
        <f aca="false">C27+Inputs!$B$15+Inputs!$B$20</f>
        <v>76025.2471554994</v>
      </c>
      <c r="E27" s="54" t="n">
        <f aca="false">D27/Inputs!$B$7</f>
        <v>90.1254213240086</v>
      </c>
      <c r="F27" s="26" t="n">
        <f aca="false">E27/Inputs!$B$6-1</f>
        <v>0.184146910051355</v>
      </c>
    </row>
    <row r="28" customFormat="false" ht="15" hidden="false" customHeight="false" outlineLevel="0" collapsed="false">
      <c r="A28" s="10" t="s">
        <v>286</v>
      </c>
      <c r="B28" s="56" t="n">
        <v>3</v>
      </c>
      <c r="C28" s="13" t="n">
        <f aca="false">B28*Inputs!$B$43</f>
        <v>57684</v>
      </c>
      <c r="D28" s="13" t="n">
        <f aca="false">C28+Inputs!$B$15+Inputs!$B$20</f>
        <v>81522</v>
      </c>
      <c r="E28" s="54" t="n">
        <f aca="false">D28/Inputs!$B$7</f>
        <v>96.641640403327</v>
      </c>
      <c r="F28" s="26" t="n">
        <f aca="false">E28/Inputs!$B$6-1</f>
        <v>0.269762717163671</v>
      </c>
    </row>
    <row r="29" customFormat="false" ht="15" hidden="false" customHeight="false" outlineLevel="0" collapsed="false">
      <c r="A29" s="10" t="s">
        <v>287</v>
      </c>
      <c r="B29" s="56" t="n">
        <v>4</v>
      </c>
      <c r="C29" s="13" t="n">
        <f aca="false">B29*Inputs!$B$43</f>
        <v>76912</v>
      </c>
      <c r="D29" s="13" t="n">
        <f aca="false">C29+Inputs!$B$15+Inputs!$B$20</f>
        <v>100750</v>
      </c>
      <c r="E29" s="54" t="n">
        <f aca="false">D29/Inputs!$B$7</f>
        <v>119.435799791899</v>
      </c>
      <c r="F29" s="26" t="n">
        <f aca="false">E29/Inputs!$B$6-1</f>
        <v>0.569252395111012</v>
      </c>
    </row>
    <row r="30" customFormat="false" ht="15" hidden="false" customHeight="false" outlineLevel="0" collapsed="false">
      <c r="A30" s="10" t="s">
        <v>288</v>
      </c>
      <c r="B30" s="56" t="n">
        <v>5</v>
      </c>
      <c r="C30" s="13" t="n">
        <f aca="false">B30*Inputs!$B$43</f>
        <v>96140</v>
      </c>
      <c r="D30" s="13" t="n">
        <f aca="false">C30+Inputs!$B$15+Inputs!$B$20</f>
        <v>119978</v>
      </c>
      <c r="E30" s="54" t="n">
        <f aca="false">D30/Inputs!$B$7</f>
        <v>142.229959180471</v>
      </c>
      <c r="F30" s="26" t="n">
        <f aca="false">E30/Inputs!$B$6-1</f>
        <v>0.868742073058352</v>
      </c>
    </row>
    <row r="32" customFormat="false" ht="15" hidden="false" customHeight="false" outlineLevel="0" collapsed="false">
      <c r="A32" s="8" t="s">
        <v>289</v>
      </c>
    </row>
    <row r="33" customFormat="false" ht="15" hidden="false" customHeight="false" outlineLevel="0" collapsed="false">
      <c r="A33" s="10" t="s">
        <v>290</v>
      </c>
      <c r="B33" s="33" t="n">
        <f aca="false">Inputs!$B$46/Inputs!$B$8</f>
        <v>0.31151412309896</v>
      </c>
    </row>
    <row r="34" customFormat="false" ht="15" hidden="false" customHeight="false" outlineLevel="0" collapsed="false">
      <c r="A34" s="10" t="s">
        <v>291</v>
      </c>
      <c r="B34" s="57" t="n">
        <f aca="false">Inputs!$B$46/Inputs!$B$6</f>
        <v>262.777558796479</v>
      </c>
    </row>
    <row r="35" customFormat="false" ht="15" hidden="false" customHeight="false" outlineLevel="0" collapsed="false">
      <c r="A35" s="10" t="s">
        <v>292</v>
      </c>
      <c r="B35" s="33" t="n">
        <f aca="false">B34/Inputs!$B$7</f>
        <v>0.31151412309896</v>
      </c>
    </row>
    <row r="36" customFormat="false" ht="15" hidden="false" customHeight="false" outlineLevel="0" collapsed="false">
      <c r="A36" s="10" t="s">
        <v>293</v>
      </c>
      <c r="B36" s="45" t="n">
        <f aca="false">Inputs!$B$46/'Debt Schedule'!B37</f>
        <v>1.75551867245982</v>
      </c>
    </row>
    <row r="37" customFormat="false" ht="15" hidden="false" customHeight="false" outlineLevel="0" collapsed="false">
      <c r="A37" s="10" t="s">
        <v>294</v>
      </c>
      <c r="B37" s="57" t="n">
        <f aca="false">Inputs!$B$7-B34</f>
        <v>580.771864203521</v>
      </c>
    </row>
    <row r="38" customFormat="false" ht="15" hidden="false" customHeight="false" outlineLevel="0" collapsed="false">
      <c r="A38" s="10" t="s">
        <v>295</v>
      </c>
      <c r="B38" s="17" t="n">
        <f aca="false">Inputs!$B$27*Inputs!$B$7/B37</f>
        <v>19.2451297035168</v>
      </c>
    </row>
    <row r="39" customFormat="false" ht="15" hidden="false" customHeight="false" outlineLevel="0" collapsed="false">
      <c r="A39" s="3" t="s">
        <v>296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12" min="2" style="0" width="12.5"/>
  </cols>
  <sheetData>
    <row r="1" customFormat="false" ht="17.35" hidden="false" customHeight="false" outlineLevel="0" collapsed="false">
      <c r="A1" s="1" t="s">
        <v>297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298</v>
      </c>
    </row>
    <row r="4" customFormat="false" ht="15" hidden="false" customHeight="false" outlineLevel="0" collapsed="false">
      <c r="A4" s="6" t="s">
        <v>299</v>
      </c>
      <c r="B4" s="7" t="s">
        <v>259</v>
      </c>
      <c r="C4" s="7" t="s">
        <v>260</v>
      </c>
      <c r="D4" s="7" t="s">
        <v>261</v>
      </c>
    </row>
    <row r="5" customFormat="false" ht="15" hidden="false" customHeight="false" outlineLevel="0" collapsed="false">
      <c r="A5" s="10" t="s">
        <v>300</v>
      </c>
      <c r="B5" s="47" t="n">
        <v>8000</v>
      </c>
      <c r="C5" s="47" t="n">
        <v>10000</v>
      </c>
      <c r="D5" s="47" t="n">
        <v>12500</v>
      </c>
    </row>
    <row r="6" customFormat="false" ht="15" hidden="false" customHeight="false" outlineLevel="0" collapsed="false">
      <c r="A6" s="10" t="s">
        <v>301</v>
      </c>
      <c r="B6" s="51" t="n">
        <v>0.12</v>
      </c>
      <c r="C6" s="51" t="n">
        <v>0.11</v>
      </c>
      <c r="D6" s="51" t="n">
        <v>0.1</v>
      </c>
    </row>
    <row r="7" customFormat="false" ht="15" hidden="false" customHeight="false" outlineLevel="0" collapsed="false">
      <c r="A7" s="10" t="s">
        <v>302</v>
      </c>
      <c r="B7" s="51" t="n">
        <v>-0.05</v>
      </c>
      <c r="C7" s="51" t="n">
        <v>-0.02</v>
      </c>
      <c r="D7" s="51" t="n">
        <v>0</v>
      </c>
    </row>
    <row r="8" customFormat="false" ht="15" hidden="false" customHeight="false" outlineLevel="0" collapsed="false">
      <c r="A8" s="23" t="s">
        <v>264</v>
      </c>
      <c r="B8" s="29" t="n">
        <f aca="false">B5*(1+B7)/(B6-B7)</f>
        <v>44705.8823529412</v>
      </c>
      <c r="C8" s="29" t="n">
        <f aca="false">C5*(1+C7)/(C6-C7)</f>
        <v>75384.6153846154</v>
      </c>
      <c r="D8" s="29" t="n">
        <f aca="false">D5*(1+D7)/(D6-D7)</f>
        <v>125000</v>
      </c>
    </row>
    <row r="9" customFormat="false" ht="15" hidden="false" customHeight="false" outlineLevel="0" collapsed="false">
      <c r="A9" s="10" t="s">
        <v>303</v>
      </c>
      <c r="B9" s="34" t="n">
        <f aca="false">Inputs!$B$15</f>
        <v>7317</v>
      </c>
      <c r="C9" s="34" t="n">
        <f aca="false">Inputs!$B$15</f>
        <v>7317</v>
      </c>
      <c r="D9" s="34" t="n">
        <f aca="false">Inputs!$B$15</f>
        <v>7317</v>
      </c>
    </row>
    <row r="10" customFormat="false" ht="15" hidden="false" customHeight="false" outlineLevel="0" collapsed="false">
      <c r="A10" s="10" t="s">
        <v>304</v>
      </c>
      <c r="B10" s="34" t="n">
        <f aca="false">Inputs!$B$20</f>
        <v>16521</v>
      </c>
      <c r="C10" s="34" t="n">
        <f aca="false">Inputs!$B$20</f>
        <v>16521</v>
      </c>
      <c r="D10" s="34" t="n">
        <f aca="false">Inputs!$B$20</f>
        <v>16521</v>
      </c>
    </row>
    <row r="11" customFormat="false" ht="15" hidden="false" customHeight="false" outlineLevel="0" collapsed="false">
      <c r="A11" s="10" t="s">
        <v>305</v>
      </c>
      <c r="B11" s="34" t="n">
        <f aca="false">-Inputs!$B$47</f>
        <v>-7958</v>
      </c>
      <c r="C11" s="34" t="n">
        <f aca="false">-Inputs!$B$47</f>
        <v>-7958</v>
      </c>
      <c r="D11" s="34" t="n">
        <f aca="false">-Inputs!$B$47</f>
        <v>-7958</v>
      </c>
    </row>
    <row r="12" customFormat="false" ht="15" hidden="false" customHeight="false" outlineLevel="0" collapsed="false">
      <c r="A12" s="8" t="s">
        <v>306</v>
      </c>
      <c r="B12" s="50" t="n">
        <f aca="false">SUM(B8:B11)/Inputs!$B$7</f>
        <v>71.8225639198157</v>
      </c>
      <c r="C12" s="50" t="n">
        <f aca="false">SUM(C8:C11)/Inputs!$B$7</f>
        <v>108.191189391182</v>
      </c>
      <c r="D12" s="50" t="n">
        <f aca="false">SUM(D8:D11)/Inputs!$B$7</f>
        <v>167.008590319432</v>
      </c>
    </row>
    <row r="14" customFormat="false" ht="15" hidden="false" customHeight="false" outlineLevel="0" collapsed="false">
      <c r="A14" s="8" t="s">
        <v>307</v>
      </c>
    </row>
    <row r="15" customFormat="false" ht="15" hidden="false" customHeight="false" outlineLevel="0" collapsed="false">
      <c r="A15" s="10" t="s">
        <v>308</v>
      </c>
      <c r="B15" s="34" t="n">
        <f aca="false">'Sum of Parts'!B10</f>
        <v>40364.54658453</v>
      </c>
    </row>
    <row r="16" customFormat="false" ht="15" hidden="false" customHeight="false" outlineLevel="0" collapsed="false">
      <c r="A16" s="10" t="s">
        <v>309</v>
      </c>
      <c r="B16" s="13" t="n">
        <f aca="false">C5</f>
        <v>10000</v>
      </c>
    </row>
    <row r="17" customFormat="false" ht="15" hidden="false" customHeight="false" outlineLevel="0" collapsed="false">
      <c r="A17" s="10" t="s">
        <v>310</v>
      </c>
      <c r="B17" s="26" t="n">
        <f aca="false">C6</f>
        <v>0.11</v>
      </c>
    </row>
    <row r="18" customFormat="false" ht="15" hidden="false" customHeight="false" outlineLevel="0" collapsed="false">
      <c r="A18" s="52" t="s">
        <v>311</v>
      </c>
      <c r="B18" s="58" t="n">
        <f aca="false">(B15*B17-B16)/(B15+B16)</f>
        <v>-0.110393128753183</v>
      </c>
    </row>
    <row r="19" customFormat="false" ht="15" hidden="false" customHeight="false" outlineLevel="0" collapsed="false">
      <c r="A19" s="10" t="s">
        <v>312</v>
      </c>
      <c r="B19" s="26" t="n">
        <f aca="false">(B15*B17-Inputs!$B$33)/(B15+Inputs!$B$33)</f>
        <v>-0.144370578354919</v>
      </c>
    </row>
    <row r="20" customFormat="false" ht="15" hidden="false" customHeight="false" outlineLevel="0" collapsed="false">
      <c r="A20" s="3" t="s">
        <v>313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12.5"/>
    <col collapsed="false" customWidth="true" hidden="false" outlineLevel="0" max="4" min="4" style="0" width="60"/>
    <col collapsed="false" customWidth="true" hidden="false" outlineLevel="0" max="12" min="5" style="0" width="12.5"/>
  </cols>
  <sheetData>
    <row r="1" customFormat="false" ht="17.35" hidden="false" customHeight="false" outlineLevel="0" collapsed="false">
      <c r="A1" s="1" t="s">
        <v>314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315</v>
      </c>
    </row>
    <row r="4" customFormat="false" ht="15" hidden="false" customHeight="false" outlineLevel="0" collapsed="false">
      <c r="A4" s="6" t="s">
        <v>316</v>
      </c>
      <c r="B4" s="7" t="s">
        <v>13</v>
      </c>
      <c r="C4" s="7"/>
      <c r="D4" s="7" t="s">
        <v>14</v>
      </c>
    </row>
    <row r="5" customFormat="false" ht="15" hidden="false" customHeight="false" outlineLevel="0" collapsed="false">
      <c r="A5" s="10" t="s">
        <v>317</v>
      </c>
      <c r="B5" s="34" t="n">
        <f aca="false">Inputs!$B$43</f>
        <v>19228</v>
      </c>
      <c r="D5" s="3" t="s">
        <v>318</v>
      </c>
    </row>
    <row r="6" customFormat="false" ht="15" hidden="false" customHeight="false" outlineLevel="0" collapsed="false">
      <c r="A6" s="10" t="s">
        <v>319</v>
      </c>
      <c r="B6" s="22" t="n">
        <v>3</v>
      </c>
      <c r="D6" s="3" t="s">
        <v>320</v>
      </c>
    </row>
    <row r="7" customFormat="false" ht="15" hidden="false" customHeight="false" outlineLevel="0" collapsed="false">
      <c r="A7" s="10" t="s">
        <v>321</v>
      </c>
      <c r="B7" s="13" t="n">
        <f aca="false">B5*B6</f>
        <v>57684</v>
      </c>
    </row>
    <row r="8" customFormat="false" ht="15" hidden="false" customHeight="false" outlineLevel="0" collapsed="false">
      <c r="A8" s="10" t="s">
        <v>303</v>
      </c>
      <c r="B8" s="34" t="n">
        <f aca="false">Inputs!$B$15</f>
        <v>7317</v>
      </c>
    </row>
    <row r="9" customFormat="false" ht="15" hidden="false" customHeight="false" outlineLevel="0" collapsed="false">
      <c r="A9" s="10" t="s">
        <v>304</v>
      </c>
      <c r="B9" s="34" t="n">
        <f aca="false">Inputs!$B$20</f>
        <v>16521</v>
      </c>
    </row>
    <row r="10" customFormat="false" ht="15" hidden="false" customHeight="false" outlineLevel="0" collapsed="false">
      <c r="A10" s="23" t="s">
        <v>322</v>
      </c>
      <c r="B10" s="29" t="n">
        <f aca="false">SUM(B7:B9)</f>
        <v>81522</v>
      </c>
    </row>
    <row r="11" customFormat="false" ht="15" hidden="false" customHeight="false" outlineLevel="0" collapsed="false">
      <c r="A11" s="23" t="s">
        <v>323</v>
      </c>
      <c r="B11" s="54" t="n">
        <f aca="false">B10/Inputs!$B$7</f>
        <v>96.641640403327</v>
      </c>
    </row>
    <row r="12" customFormat="false" ht="15" hidden="false" customHeight="false" outlineLevel="0" collapsed="false">
      <c r="A12" s="23" t="s">
        <v>324</v>
      </c>
      <c r="B12" s="33" t="n">
        <f aca="false">B11/Inputs!$B$6-1</f>
        <v>0.269762717163671</v>
      </c>
    </row>
    <row r="13" customFormat="false" ht="15" hidden="false" customHeight="false" outlineLevel="0" collapsed="false">
      <c r="A13" s="10" t="s">
        <v>325</v>
      </c>
      <c r="B13" s="22" t="n">
        <v>2.5</v>
      </c>
      <c r="D13" s="3" t="s">
        <v>326</v>
      </c>
    </row>
    <row r="14" customFormat="false" ht="15" hidden="false" customHeight="false" outlineLevel="0" collapsed="false">
      <c r="A14" s="10" t="s">
        <v>327</v>
      </c>
      <c r="B14" s="13" t="n">
        <f aca="false">B5*B13</f>
        <v>48070</v>
      </c>
    </row>
    <row r="15" customFormat="false" ht="15" hidden="false" customHeight="false" outlineLevel="0" collapsed="false">
      <c r="A15" s="10" t="s">
        <v>328</v>
      </c>
      <c r="B15" s="13" t="n">
        <f aca="false">B10-B14</f>
        <v>33452</v>
      </c>
    </row>
    <row r="16" customFormat="false" ht="15" hidden="false" customHeight="false" outlineLevel="0" collapsed="false">
      <c r="A16" s="10" t="s">
        <v>329</v>
      </c>
      <c r="B16" s="18" t="n">
        <v>0.08</v>
      </c>
      <c r="D16" s="3" t="s">
        <v>78</v>
      </c>
    </row>
    <row r="17" customFormat="false" ht="15" hidden="false" customHeight="false" outlineLevel="0" collapsed="false">
      <c r="A17" s="10" t="s">
        <v>330</v>
      </c>
      <c r="B17" s="13" t="n">
        <f aca="false">B14*B16*(1-Inputs!$B$49)</f>
        <v>3038.024</v>
      </c>
    </row>
    <row r="18" customFormat="false" ht="15" hidden="false" customHeight="false" outlineLevel="0" collapsed="false">
      <c r="A18" s="10" t="s">
        <v>331</v>
      </c>
      <c r="B18" s="34" t="n">
        <f aca="false">'DCF &amp; Reverse DCF'!C5</f>
        <v>10000</v>
      </c>
      <c r="D18" s="3" t="s">
        <v>332</v>
      </c>
    </row>
    <row r="19" customFormat="false" ht="15" hidden="false" customHeight="false" outlineLevel="0" collapsed="false">
      <c r="A19" s="23" t="s">
        <v>333</v>
      </c>
      <c r="B19" s="29" t="n">
        <f aca="false">B18-B17</f>
        <v>6961.976</v>
      </c>
      <c r="D19" s="3" t="s">
        <v>334</v>
      </c>
    </row>
    <row r="20" customFormat="false" ht="15" hidden="false" customHeight="false" outlineLevel="0" collapsed="false">
      <c r="A20" s="10" t="s">
        <v>335</v>
      </c>
      <c r="B20" s="37" t="n">
        <v>5</v>
      </c>
    </row>
    <row r="21" customFormat="false" ht="15" hidden="false" customHeight="false" outlineLevel="0" collapsed="false">
      <c r="A21" s="10" t="s">
        <v>336</v>
      </c>
      <c r="B21" s="22" t="n">
        <v>3</v>
      </c>
      <c r="D21" s="3" t="s">
        <v>337</v>
      </c>
    </row>
    <row r="22" customFormat="false" ht="15" hidden="false" customHeight="false" outlineLevel="0" collapsed="false">
      <c r="A22" s="10" t="s">
        <v>338</v>
      </c>
      <c r="B22" s="13" t="n">
        <f aca="false">MAX(0,B14-B19*B20)</f>
        <v>13260.12</v>
      </c>
    </row>
    <row r="23" customFormat="false" ht="15" hidden="false" customHeight="false" outlineLevel="0" collapsed="false">
      <c r="A23" s="23" t="s">
        <v>339</v>
      </c>
      <c r="B23" s="29" t="n">
        <f aca="false">B5*B21-B22+B8+B9</f>
        <v>68261.88</v>
      </c>
    </row>
    <row r="24" customFormat="false" ht="15" hidden="false" customHeight="false" outlineLevel="0" collapsed="false">
      <c r="A24" s="23" t="s">
        <v>340</v>
      </c>
      <c r="B24" s="35" t="n">
        <f aca="false">B23/B15</f>
        <v>2.04059189286141</v>
      </c>
    </row>
    <row r="25" customFormat="false" ht="15" hidden="false" customHeight="false" outlineLevel="0" collapsed="false">
      <c r="A25" s="23" t="s">
        <v>341</v>
      </c>
      <c r="B25" s="33" t="n">
        <f aca="false">B24^(1/B20)-1</f>
        <v>0.153323739329427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0"/>
    <col collapsed="false" customWidth="true" hidden="false" outlineLevel="0" max="12" min="2" style="0" width="12.5"/>
  </cols>
  <sheetData>
    <row r="1" customFormat="false" ht="17.35" hidden="false" customHeight="false" outlineLevel="0" collapsed="false">
      <c r="A1" s="1" t="s">
        <v>342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343</v>
      </c>
    </row>
    <row r="4" customFormat="false" ht="15" hidden="false" customHeight="false" outlineLevel="0" collapsed="false">
      <c r="A4" s="6" t="s">
        <v>344</v>
      </c>
      <c r="B4" s="7" t="s">
        <v>345</v>
      </c>
      <c r="C4" s="7" t="s">
        <v>346</v>
      </c>
    </row>
    <row r="5" customFormat="false" ht="15" hidden="false" customHeight="false" outlineLevel="0" collapsed="false">
      <c r="A5" s="10" t="s">
        <v>347</v>
      </c>
      <c r="B5" s="59" t="n">
        <f aca="false">SUM('9Q Free Cash Flow'!D19:G19)-10595</f>
        <v>-1</v>
      </c>
      <c r="C5" s="10" t="s">
        <v>348</v>
      </c>
    </row>
    <row r="6" customFormat="false" ht="15" hidden="false" customHeight="false" outlineLevel="0" collapsed="false">
      <c r="A6" s="10" t="s">
        <v>349</v>
      </c>
      <c r="B6" s="59" t="n">
        <f aca="false">SUM('9Q Free Cash Flow'!H19:J19)-12184</f>
        <v>0</v>
      </c>
      <c r="C6" s="10" t="s">
        <v>350</v>
      </c>
    </row>
    <row r="7" customFormat="false" ht="15" hidden="false" customHeight="false" outlineLevel="0" collapsed="false">
      <c r="A7" s="10" t="s">
        <v>351</v>
      </c>
      <c r="B7" s="59" t="n">
        <f aca="false">SUM('9Q Free Cash Flow'!H16:J16)-13653</f>
        <v>0</v>
      </c>
      <c r="C7" s="10" t="s">
        <v>350</v>
      </c>
    </row>
    <row r="8" customFormat="false" ht="15" hidden="false" customHeight="false" outlineLevel="0" collapsed="false">
      <c r="A8" s="10" t="s">
        <v>352</v>
      </c>
      <c r="B8" s="59" t="n">
        <f aca="false">SUM('9Q Free Cash Flow'!H24:J24)-5300</f>
        <v>0</v>
      </c>
      <c r="C8" s="10" t="s">
        <v>350</v>
      </c>
    </row>
    <row r="9" customFormat="false" ht="15" hidden="false" customHeight="false" outlineLevel="0" collapsed="false">
      <c r="A9" s="10" t="s">
        <v>353</v>
      </c>
      <c r="B9" s="59" t="n">
        <f aca="false">SUM('9Q Free Cash Flow'!H33:J33)-65</f>
        <v>0</v>
      </c>
      <c r="C9" s="10" t="s">
        <v>350</v>
      </c>
    </row>
    <row r="10" customFormat="false" ht="15" hidden="false" customHeight="false" outlineLevel="0" collapsed="false">
      <c r="A10" s="10" t="s">
        <v>354</v>
      </c>
      <c r="B10" s="59" t="n">
        <f aca="false">SUM('9Q Free Cash Flow'!H8:J8)-12302</f>
        <v>0</v>
      </c>
      <c r="C10" s="10" t="s">
        <v>350</v>
      </c>
    </row>
    <row r="11" customFormat="false" ht="15" hidden="false" customHeight="false" outlineLevel="0" collapsed="false">
      <c r="A11" s="10" t="s">
        <v>355</v>
      </c>
      <c r="B11" s="60" t="b">
        <f aca="false">'Debt Schedule'!E24&gt;0</f>
        <v>1</v>
      </c>
      <c r="C11" s="10" t="s">
        <v>356</v>
      </c>
    </row>
    <row r="12" customFormat="false" ht="15" hidden="false" customHeight="false" outlineLevel="0" collapsed="false">
      <c r="A12" s="10" t="s">
        <v>357</v>
      </c>
      <c r="B12" s="59" t="n">
        <f aca="false">'Debt Schedule'!F33-'Debt Schedule'!E21</f>
        <v>0</v>
      </c>
      <c r="C12" s="10" t="s">
        <v>350</v>
      </c>
    </row>
    <row r="13" customFormat="false" ht="15" hidden="false" customHeight="false" outlineLevel="0" collapsed="false">
      <c r="A13" s="10" t="s">
        <v>358</v>
      </c>
      <c r="B13" s="59" t="n">
        <f aca="false">'EV-EBITDA Valuation'!B14-1</f>
        <v>0</v>
      </c>
      <c r="C13" s="10" t="s">
        <v>350</v>
      </c>
    </row>
    <row r="14" customFormat="false" ht="15" hidden="false" customHeight="false" outlineLevel="0" collapsed="false">
      <c r="A14" s="10" t="s">
        <v>359</v>
      </c>
      <c r="B14" s="59" t="n">
        <f aca="false">ROUND(Inputs!$B$8/1000,1)-64.2</f>
        <v>0</v>
      </c>
      <c r="C14" s="10" t="s">
        <v>350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2026-10-22T16:24:56Z</dcterms:created>
  <dc:creator>openpyxl</dc:creator>
  <dc:description/>
  <dc:language>en-US</dc:language>
  <cp:lastModifiedBy/>
  <dcterms:modified xsi:type="dcterms:W3CDTF">2026-10-22T16:24:56Z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